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kompascentras-my.sharepoint.com/personal/renata_siupiniene_rkpc_lt/Documents/Darbalaukis/RVA ataskaitos/STIP-2025/Tinklapiui/"/>
    </mc:Choice>
  </mc:AlternateContent>
  <xr:revisionPtr revIDLastSave="1" documentId="11_AD4DD444A24BEB0B4C15A45B8CDC57F45ADEDDB2" xr6:coauthVersionLast="47" xr6:coauthVersionMax="47" xr10:uidLastSave="{3EEBF313-2EBA-4F98-98A6-B0E5A75E4FEA}"/>
  <bookViews>
    <workbookView xWindow="855" yWindow="435" windowWidth="37245" windowHeight="13725" xr2:uid="{00000000-000D-0000-FFFF-FFFF00000000}"/>
  </bookViews>
  <sheets>
    <sheet name="Lapas1" sheetId="1" r:id="rId1"/>
  </sheets>
  <externalReferences>
    <externalReference r:id="rId2"/>
  </externalReferences>
  <definedNames>
    <definedName name="SIS055_F_Isviso1Eur4">'[1]Forma 2'!$J$185</definedName>
    <definedName name="SIS062_D_Cstsistema1">'[1]Forma 9'!$AC$9</definedName>
    <definedName name="SIS062_D_Cstsistema2">'[1]Forma 9'!$AV$9</definedName>
    <definedName name="SIS062_D_Cstsistema3">'[1]Forma 9'!$BO$9</definedName>
    <definedName name="SIS062_D_Cstsistema4">'[1]Forma 9'!$CH$9</definedName>
    <definedName name="SIS062_D_Cstsistema5">'[1]Forma 9'!$DA$9</definedName>
    <definedName name="SIS062_D_Cstsistema6">'[1]Forma 9'!$DT$9</definedName>
    <definedName name="SIS062_D_Cstsistema7">'[1]Forma 9'!$EM$9</definedName>
    <definedName name="SIS062_D_Paslaugaproduk1">'[1]Forma 9'!$I$13</definedName>
    <definedName name="SIS062_D_Paslaugaproduk10">'[1]Forma 9'!$AG$13</definedName>
    <definedName name="SIS062_D_Paslaugaproduk11">'[1]Forma 9'!$AJ$13</definedName>
    <definedName name="SIS062_D_Paslaugaproduk12">'[1]Forma 9'!$AK$13</definedName>
    <definedName name="SIS062_D_Paslaugaproduk13">'[1]Forma 9'!$AO$13</definedName>
    <definedName name="SIS062_D_Paslaugaproduk14">'[1]Forma 9'!$AP$13</definedName>
    <definedName name="SIS062_D_Paslaugaproduk15">'[1]Forma 9'!$AS$13</definedName>
    <definedName name="SIS062_D_Paslaugaproduk16">'[1]Forma 9'!$AT$13</definedName>
    <definedName name="SIS062_D_Paslaugaproduk17">'[1]Forma 9'!$AZ$13</definedName>
    <definedName name="SIS062_D_Paslaugaproduk18">'[1]Forma 9'!$BC$13</definedName>
    <definedName name="SIS062_D_Paslaugaproduk19">'[1]Forma 9'!$BD$13</definedName>
    <definedName name="SIS062_D_Paslaugaproduk2">'[1]Forma 9'!$L$13</definedName>
    <definedName name="SIS062_D_Paslaugaproduk20">'[1]Forma 9'!$BH$13</definedName>
    <definedName name="SIS062_D_Paslaugaproduk21">'[1]Forma 9'!$BI$13</definedName>
    <definedName name="SIS062_D_Paslaugaproduk22">'[1]Forma 9'!$BL$13</definedName>
    <definedName name="SIS062_D_Paslaugaproduk23">'[1]Forma 9'!$BM$13</definedName>
    <definedName name="SIS062_D_Paslaugaproduk24">'[1]Forma 9'!$BS$13</definedName>
    <definedName name="SIS062_D_Paslaugaproduk25">'[1]Forma 9'!$BV$13</definedName>
    <definedName name="SIS062_D_Paslaugaproduk26">'[1]Forma 9'!$BW$13</definedName>
    <definedName name="SIS062_D_Paslaugaproduk27">'[1]Forma 9'!$CA$13</definedName>
    <definedName name="SIS062_D_Paslaugaproduk28">'[1]Forma 9'!$CB$13</definedName>
    <definedName name="SIS062_D_Paslaugaproduk29">'[1]Forma 9'!$CE$13</definedName>
    <definedName name="SIS062_D_Paslaugaproduk3">'[1]Forma 9'!$M$13</definedName>
    <definedName name="SIS062_D_Paslaugaproduk30">'[1]Forma 9'!$CF$13</definedName>
    <definedName name="SIS062_D_Paslaugaproduk31">'[1]Forma 9'!$CL$13</definedName>
    <definedName name="SIS062_D_Paslaugaproduk32">'[1]Forma 9'!$CO$13</definedName>
    <definedName name="SIS062_D_Paslaugaproduk33">'[1]Forma 9'!$CP$13</definedName>
    <definedName name="SIS062_D_Paslaugaproduk34">'[1]Forma 9'!$CT$13</definedName>
    <definedName name="SIS062_D_Paslaugaproduk35">'[1]Forma 9'!$CU$13</definedName>
    <definedName name="SIS062_D_Paslaugaproduk36">'[1]Forma 9'!$CX$13</definedName>
    <definedName name="SIS062_D_Paslaugaproduk37">'[1]Forma 9'!$CY$13</definedName>
    <definedName name="SIS062_D_Paslaugaproduk38">'[1]Forma 9'!$DE$13</definedName>
    <definedName name="SIS062_D_Paslaugaproduk39">'[1]Forma 9'!$DH$13</definedName>
    <definedName name="SIS062_D_Paslaugaproduk4">'[1]Forma 9'!$Q$13</definedName>
    <definedName name="SIS062_D_Paslaugaproduk40">'[1]Forma 9'!$DI$13</definedName>
    <definedName name="SIS062_D_Paslaugaproduk41">'[1]Forma 9'!$DM$13</definedName>
    <definedName name="SIS062_D_Paslaugaproduk42">'[1]Forma 9'!$DN$13</definedName>
    <definedName name="SIS062_D_Paslaugaproduk43">'[1]Forma 9'!$DQ$13</definedName>
    <definedName name="SIS062_D_Paslaugaproduk44">'[1]Forma 9'!$DR$13</definedName>
    <definedName name="SIS062_D_Paslaugaproduk45">'[1]Forma 9'!$DX$13</definedName>
    <definedName name="SIS062_D_Paslaugaproduk46">'[1]Forma 9'!$EA$13</definedName>
    <definedName name="SIS062_D_Paslaugaproduk47">'[1]Forma 9'!$EB$13</definedName>
    <definedName name="SIS062_D_Paslaugaproduk48">'[1]Forma 9'!$EF$13</definedName>
    <definedName name="SIS062_D_Paslaugaproduk49">'[1]Forma 9'!$EG$13</definedName>
    <definedName name="SIS062_D_Paslaugaproduk5">'[1]Forma 9'!$R$13</definedName>
    <definedName name="SIS062_D_Paslaugaproduk50">'[1]Forma 9'!$EJ$13</definedName>
    <definedName name="SIS062_D_Paslaugaproduk51">'[1]Forma 9'!$EK$13</definedName>
    <definedName name="SIS062_D_Paslaugaproduk52">'[1]Forma 9'!$EQ$13</definedName>
    <definedName name="SIS062_D_Paslaugaproduk53">'[1]Forma 9'!$ET$13</definedName>
    <definedName name="SIS062_D_Paslaugaproduk54">'[1]Forma 9'!$EU$13</definedName>
    <definedName name="SIS062_D_Paslaugaproduk55">'[1]Forma 9'!$EY$13</definedName>
    <definedName name="SIS062_D_Paslaugaproduk56">'[1]Forma 9'!$EZ$13</definedName>
    <definedName name="SIS062_D_Paslaugaproduk57">'[1]Forma 9'!$FC$13</definedName>
    <definedName name="SIS062_D_Paslaugaproduk58">'[1]Forma 9'!$FD$13</definedName>
    <definedName name="SIS062_D_Paslaugaproduk6">'[1]Forma 9'!$U$13</definedName>
    <definedName name="SIS062_D_Paslaugaproduk7">'[1]Forma 9'!$V$13</definedName>
    <definedName name="SIS062_D_Paslaugaproduk8">'[1]Forma 9'!$Y$13</definedName>
    <definedName name="SIS062_D_Paslaugaproduk9">'[1]Forma 9'!$AB$13</definedName>
    <definedName name="SIS066_F_Isvisotiesiogi2Balansavimasce2">'[1]Forma 13'!$AI$191</definedName>
    <definedName name="SIS066_F_Isvisotiesiogi2Balansavimasce3">'[1]Forma 13'!$BB$191</definedName>
    <definedName name="SIS066_F_Isvisotiesiogi2Balansavimasce4">'[1]Forma 13'!$BU$191</definedName>
    <definedName name="SIS066_F_Isvisotiesiogi2Balansavimasce5">'[1]Forma 13'!$CN$191</definedName>
    <definedName name="SIS066_F_Isvisotiesiogi2Balansavimasce6">'[1]Forma 13'!$DG$191</definedName>
    <definedName name="SIS066_F_Isvisotiesiogi2Balansavimasce7">'[1]Forma 13'!$DZ$191</definedName>
    <definedName name="SIS066_F_Isvisotiesiogi2Balansavimasce8">'[1]Forma 13'!$ES$191</definedName>
    <definedName name="SIS066_F_Isvisotiesiogi2Elektrosenergi1">'[1]Forma 13'!$W$191</definedName>
    <definedName name="SIS066_F_Isvisotiesiogi2Elektrosenergi2">'[1]Forma 13'!$Z$191</definedName>
    <definedName name="SIS066_F_Isvisotiesiogi2Geriamojovande1">'[1]Forma 13'!$X$191</definedName>
    <definedName name="SIS066_F_Isvisotiesiogi2Karstovandensa2">'[1]Forma 13'!$AN$191</definedName>
    <definedName name="SIS066_F_Isvisotiesiogi2Karstovandensa3">'[1]Forma 13'!$BG$191</definedName>
    <definedName name="SIS066_F_Isvisotiesiogi2Karstovandensa4">'[1]Forma 13'!$BZ$191</definedName>
    <definedName name="SIS066_F_Isvisotiesiogi2Karstovandensa5">'[1]Forma 13'!$CS$191</definedName>
    <definedName name="SIS066_F_Isvisotiesiogi2Karstovandensa6">'[1]Forma 13'!$DL$191</definedName>
    <definedName name="SIS066_F_Isvisotiesiogi2Karstovandensa7">'[1]Forma 13'!$EE$191</definedName>
    <definedName name="SIS066_F_Isvisotiesiogi2Karstovandensa8">'[1]Forma 13'!$EX$191</definedName>
    <definedName name="SIS066_F_Isvisotiesiogi2Karstovandenst11">'[1]Forma 13'!$AL$191</definedName>
    <definedName name="SIS066_F_Isvisotiesiogi2Karstovandenst12">'[1]Forma 13'!$AM$191</definedName>
    <definedName name="SIS066_F_Isvisotiesiogi2Karstovandenst13">'[1]Forma 13'!$BE$191</definedName>
    <definedName name="SIS066_F_Isvisotiesiogi2Karstovandenst14">'[1]Forma 13'!$BF$191</definedName>
    <definedName name="SIS066_F_Isvisotiesiogi2Karstovandenst15">'[1]Forma 13'!$BX$191</definedName>
    <definedName name="SIS066_F_Isvisotiesiogi2Karstovandenst16">'[1]Forma 13'!$BY$191</definedName>
    <definedName name="SIS066_F_Isvisotiesiogi2Karstovandenst17">'[1]Forma 13'!$CQ$191</definedName>
    <definedName name="SIS066_F_Isvisotiesiogi2Karstovandenst18">'[1]Forma 13'!$CR$191</definedName>
    <definedName name="SIS066_F_Isvisotiesiogi2Karstovandenst19">'[1]Forma 13'!$DJ$191</definedName>
    <definedName name="SIS066_F_Isvisotiesiogi2Karstovandenst20">'[1]Forma 13'!$DK$191</definedName>
    <definedName name="SIS066_F_Isvisotiesiogi2Karstovandenst21">'[1]Forma 13'!$EC$191</definedName>
    <definedName name="SIS066_F_Isvisotiesiogi2Karstovandenst22">'[1]Forma 13'!$ED$191</definedName>
    <definedName name="SIS066_F_Isvisotiesiogi2Karstovandenst23">'[1]Forma 13'!$EV$191</definedName>
    <definedName name="SIS066_F_Isvisotiesiogi2Karstovandenst24">'[1]Forma 13'!$EW$191</definedName>
    <definedName name="SIS066_F_Isvisotiesiogi2Katiliniuirele10">'[1]Forma 13'!$CJ$191</definedName>
    <definedName name="SIS066_F_Isvisotiesiogi2Katiliniuirele11">'[1]Forma 13'!$DA$191</definedName>
    <definedName name="SIS066_F_Isvisotiesiogi2Katiliniuirele12">'[1]Forma 13'!$DC$191</definedName>
    <definedName name="SIS066_F_Isvisotiesiogi2Katiliniuirele13">'[1]Forma 13'!$DT$191</definedName>
    <definedName name="SIS066_F_Isvisotiesiogi2Katiliniuirele14">'[1]Forma 13'!$DV$191</definedName>
    <definedName name="SIS066_F_Isvisotiesiogi2Katiliniuirele15">'[1]Forma 13'!$EM$191</definedName>
    <definedName name="SIS066_F_Isvisotiesiogi2Katiliniuirele16">'[1]Forma 13'!$EO$191</definedName>
    <definedName name="SIS066_F_Isvisotiesiogi2Katiliniuirele3">'[1]Forma 13'!$AC$191</definedName>
    <definedName name="SIS066_F_Isvisotiesiogi2Katiliniuirele4">'[1]Forma 13'!$AE$191</definedName>
    <definedName name="SIS066_F_Isvisotiesiogi2Katiliniuirele5">'[1]Forma 13'!$AV$191</definedName>
    <definedName name="SIS066_F_Isvisotiesiogi2Katiliniuirele6">'[1]Forma 13'!$AX$191</definedName>
    <definedName name="SIS066_F_Isvisotiesiogi2Katiliniuirele7">'[1]Forma 13'!$BO$191</definedName>
    <definedName name="SIS066_F_Isvisotiesiogi2Katiliniuirele8">'[1]Forma 13'!$BQ$191</definedName>
    <definedName name="SIS066_F_Isvisotiesiogi2Katiliniuirele9">'[1]Forma 13'!$CH$191</definedName>
    <definedName name="SIS066_F_Isvisotiesiogi2Kogeneracinese10">'[1]Forma 13'!$CK$191</definedName>
    <definedName name="SIS066_F_Isvisotiesiogi2Kogeneracinese11">'[1]Forma 13'!$DB$191</definedName>
    <definedName name="SIS066_F_Isvisotiesiogi2Kogeneracinese12">'[1]Forma 13'!$DD$191</definedName>
    <definedName name="SIS066_F_Isvisotiesiogi2Kogeneracinese13">'[1]Forma 13'!$DU$191</definedName>
    <definedName name="SIS066_F_Isvisotiesiogi2Kogeneracinese14">'[1]Forma 13'!$DW$191</definedName>
    <definedName name="SIS066_F_Isvisotiesiogi2Kogeneracinese15">'[1]Forma 13'!$EN$191</definedName>
    <definedName name="SIS066_F_Isvisotiesiogi2Kogeneracinese16">'[1]Forma 13'!$EP$191</definedName>
    <definedName name="SIS066_F_Isvisotiesiogi2Kogeneracinese3">'[1]Forma 13'!$AD$191</definedName>
    <definedName name="SIS066_F_Isvisotiesiogi2Kogeneracinese4">'[1]Forma 13'!$AF$191</definedName>
    <definedName name="SIS066_F_Isvisotiesiogi2Kogeneracinese5">'[1]Forma 13'!$AW$191</definedName>
    <definedName name="SIS066_F_Isvisotiesiogi2Kogeneracinese6">'[1]Forma 13'!$AY$191</definedName>
    <definedName name="SIS066_F_Isvisotiesiogi2Kogeneracinese7">'[1]Forma 13'!$BP$191</definedName>
    <definedName name="SIS066_F_Isvisotiesiogi2Kogeneracinese8">'[1]Forma 13'!$BR$191</definedName>
    <definedName name="SIS066_F_Isvisotiesiogi2Kogeneracinese9">'[1]Forma 13'!$CI$191</definedName>
    <definedName name="SIS066_F_Isvisotiesiogi2Konkurencinesi1">'[1]Forma 13'!$AA$191</definedName>
    <definedName name="SIS066_F_Isvisotiesiogi2Konkurencinesi2">'[1]Forma 13'!$AU$191</definedName>
    <definedName name="SIS066_F_Isvisotiesiogi2Konkurencinesi3">'[1]Forma 13'!$BN$191</definedName>
    <definedName name="SIS066_F_Isvisotiesiogi2Konkurencinesi4">'[1]Forma 13'!$CG$191</definedName>
    <definedName name="SIS066_F_Isvisotiesiogi2Konkurencinesi5">'[1]Forma 13'!$DS$191</definedName>
    <definedName name="SIS066_F_Isvisotiesiogi2Konkurencinesi6">'[1]Forma 13'!$CZ$191</definedName>
    <definedName name="SIS066_F_Isvisotiesiogi2Konkurencinesi7">'[1]Forma 13'!$EL$191</definedName>
    <definedName name="SIS066_F_Isvisotiesiogi2Konkurencinesi8">'[1]Forma 13'!$FE$191</definedName>
    <definedName name="SIS066_F_Isvisotiesiogi2Paslaugaproduk10">'[1]Forma 13'!$AG$191</definedName>
    <definedName name="SIS066_F_Isvisotiesiogi2Paslaugaproduk11">'[1]Forma 13'!$AJ$191</definedName>
    <definedName name="SIS066_F_Isvisotiesiogi2Paslaugaproduk12">'[1]Forma 13'!$AK$191</definedName>
    <definedName name="SIS066_F_Isvisotiesiogi2Paslaugaproduk13">'[1]Forma 13'!$AO$191</definedName>
    <definedName name="SIS066_F_Isvisotiesiogi2Paslaugaproduk14">'[1]Forma 13'!$AP$191</definedName>
    <definedName name="SIS066_F_Isvisotiesiogi2Paslaugaproduk15">'[1]Forma 13'!$AS$191</definedName>
    <definedName name="SIS066_F_Isvisotiesiogi2Paslaugaproduk16">'[1]Forma 13'!$AT$191</definedName>
    <definedName name="SIS066_F_Isvisotiesiogi2Paslaugaproduk17">'[1]Forma 13'!$AZ$191</definedName>
    <definedName name="SIS066_F_Isvisotiesiogi2Paslaugaproduk18">'[1]Forma 13'!$BC$191</definedName>
    <definedName name="SIS066_F_Isvisotiesiogi2Paslaugaproduk19">'[1]Forma 13'!$BD$191</definedName>
    <definedName name="SIS066_F_Isvisotiesiogi2Paslaugaproduk20">'[1]Forma 13'!$BH$191</definedName>
    <definedName name="SIS066_F_Isvisotiesiogi2Paslaugaproduk21">'[1]Forma 13'!$BI$191</definedName>
    <definedName name="SIS066_F_Isvisotiesiogi2Paslaugaproduk22">'[1]Forma 13'!$BL$191</definedName>
    <definedName name="SIS066_F_Isvisotiesiogi2Paslaugaproduk23">'[1]Forma 13'!$BM$191</definedName>
    <definedName name="SIS066_F_Isvisotiesiogi2Paslaugaproduk24">'[1]Forma 13'!$BS$191</definedName>
    <definedName name="SIS066_F_Isvisotiesiogi2Paslaugaproduk25">'[1]Forma 13'!$BV$191</definedName>
    <definedName name="SIS066_F_Isvisotiesiogi2Paslaugaproduk26">'[1]Forma 13'!$BW$191</definedName>
    <definedName name="SIS066_F_Isvisotiesiogi2Paslaugaproduk27">'[1]Forma 13'!$CA$191</definedName>
    <definedName name="SIS066_F_Isvisotiesiogi2Paslaugaproduk28">'[1]Forma 13'!$CB$191</definedName>
    <definedName name="SIS066_F_Isvisotiesiogi2Paslaugaproduk29">'[1]Forma 13'!$CE$191</definedName>
    <definedName name="SIS066_F_Isvisotiesiogi2Paslaugaproduk30">'[1]Forma 13'!$CF$191</definedName>
    <definedName name="SIS066_F_Isvisotiesiogi2Paslaugaproduk31">'[1]Forma 13'!$CL$191</definedName>
    <definedName name="SIS066_F_Isvisotiesiogi2Paslaugaproduk32">'[1]Forma 13'!$CO$191</definedName>
    <definedName name="SIS066_F_Isvisotiesiogi2Paslaugaproduk33">'[1]Forma 13'!$CP$191</definedName>
    <definedName name="SIS066_F_Isvisotiesiogi2Paslaugaproduk34">'[1]Forma 13'!$CT$191</definedName>
    <definedName name="SIS066_F_Isvisotiesiogi2Paslaugaproduk35">'[1]Forma 13'!$CU$191</definedName>
    <definedName name="SIS066_F_Isvisotiesiogi2Paslaugaproduk36">'[1]Forma 13'!$CX$191</definedName>
    <definedName name="SIS066_F_Isvisotiesiogi2Paslaugaproduk37">'[1]Forma 13'!$CY$191</definedName>
    <definedName name="SIS066_F_Isvisotiesiogi2Paslaugaproduk38">'[1]Forma 13'!$DE$191</definedName>
    <definedName name="SIS066_F_Isvisotiesiogi2Paslaugaproduk39">'[1]Forma 13'!$DH$191</definedName>
    <definedName name="SIS066_F_Isvisotiesiogi2Paslaugaproduk40">'[1]Forma 13'!$DI$191</definedName>
    <definedName name="SIS066_F_Isvisotiesiogi2Paslaugaproduk41">'[1]Forma 13'!$DM$191</definedName>
    <definedName name="SIS066_F_Isvisotiesiogi2Paslaugaproduk42">'[1]Forma 13'!$DN$191</definedName>
    <definedName name="SIS066_F_Isvisotiesiogi2Paslaugaproduk43">'[1]Forma 13'!$DQ$191</definedName>
    <definedName name="SIS066_F_Isvisotiesiogi2Paslaugaproduk44">'[1]Forma 13'!$DR$191</definedName>
    <definedName name="SIS066_F_Isvisotiesiogi2Paslaugaproduk45">'[1]Forma 13'!$DX$191</definedName>
    <definedName name="SIS066_F_Isvisotiesiogi2Paslaugaproduk46">'[1]Forma 13'!$EA$191</definedName>
    <definedName name="SIS066_F_Isvisotiesiogi2Paslaugaproduk47">'[1]Forma 13'!$EB$191</definedName>
    <definedName name="SIS066_F_Isvisotiesiogi2Paslaugaproduk48">'[1]Forma 13'!$EF$191</definedName>
    <definedName name="SIS066_F_Isvisotiesiogi2Paslaugaproduk49">'[1]Forma 13'!$EG$191</definedName>
    <definedName name="SIS066_F_Isvisotiesiogi2Paslaugaproduk50">'[1]Forma 13'!$EJ$191</definedName>
    <definedName name="SIS066_F_Isvisotiesiogi2Paslaugaproduk51">'[1]Forma 13'!$EK$191</definedName>
    <definedName name="SIS066_F_Isvisotiesiogi2Paslaugaproduk52">'[1]Forma 13'!$EQ$191</definedName>
    <definedName name="SIS066_F_Isvisotiesiogi2Paslaugaproduk53">'[1]Forma 13'!$ET$191</definedName>
    <definedName name="SIS066_F_Isvisotiesiogi2Paslaugaproduk54">'[1]Forma 13'!$EU$191</definedName>
    <definedName name="SIS066_F_Isvisotiesiogi2Paslaugaproduk55">'[1]Forma 13'!$EY$191</definedName>
    <definedName name="SIS066_F_Isvisotiesiogi2Paslaugaproduk56">'[1]Forma 13'!$EZ$191</definedName>
    <definedName name="SIS066_F_Isvisotiesiogi2Paslaugaproduk57">'[1]Forma 13'!$FC$191</definedName>
    <definedName name="SIS066_F_Isvisotiesiogi2Paslaugaproduk58">'[1]Forma 13'!$FD$191</definedName>
    <definedName name="SIS066_F_Isvisotiesiogi2Paslaugaproduk8">'[1]Forma 13'!$Y$191</definedName>
    <definedName name="SIS066_F_Isvisotiesiogi2Paslaugaproduk9">'[1]Forma 13'!$AB$191</definedName>
    <definedName name="SIS066_F_Isvisotiesiogi2Pastatusildymo11">'[1]Forma 13'!$AQ$191</definedName>
    <definedName name="SIS066_F_Isvisotiesiogi2Pastatusildymo12">'[1]Forma 13'!$AR$191</definedName>
    <definedName name="SIS066_F_Isvisotiesiogi2Pastatusildymo13">'[1]Forma 13'!$BJ$191</definedName>
    <definedName name="SIS066_F_Isvisotiesiogi2Pastatusildymo14">'[1]Forma 13'!$BK$191</definedName>
    <definedName name="SIS066_F_Isvisotiesiogi2Pastatusildymo15">'[1]Forma 13'!$CC$191</definedName>
    <definedName name="SIS066_F_Isvisotiesiogi2Pastatusildymo16">'[1]Forma 13'!$CD$191</definedName>
    <definedName name="SIS066_F_Isvisotiesiogi2Pastatusildymo17">'[1]Forma 13'!$CV$191</definedName>
    <definedName name="SIS066_F_Isvisotiesiogi2Pastatusildymo18">'[1]Forma 13'!$CW$191</definedName>
    <definedName name="SIS066_F_Isvisotiesiogi2Pastatusildymo19">'[1]Forma 13'!$DO$191</definedName>
    <definedName name="SIS066_F_Isvisotiesiogi2Pastatusildymo20">'[1]Forma 13'!$DP$191</definedName>
    <definedName name="SIS066_F_Isvisotiesiogi2Pastatusildymo21">'[1]Forma 13'!$EH$191</definedName>
    <definedName name="SIS066_F_Isvisotiesiogi2Pastatusildymo22">'[1]Forma 13'!$EI$191</definedName>
    <definedName name="SIS066_F_Isvisotiesiogi2Pastatusildymo23">'[1]Forma 13'!$FA$191</definedName>
    <definedName name="SIS066_F_Isvisotiesiogi2Pastatusildymo24">'[1]Forma 13'!$FB$191</definedName>
    <definedName name="SIS066_F_Isvisotiesiogi2Silumosperdavi10">'[1]Forma 13'!$AH$191</definedName>
    <definedName name="SIS066_F_Isvisotiesiogi2Silumosperdavi11">'[1]Forma 13'!$BA$191</definedName>
    <definedName name="SIS066_F_Isvisotiesiogi2Silumosperdavi12">'[1]Forma 13'!$BT$191</definedName>
    <definedName name="SIS066_F_Isvisotiesiogi2Silumosperdavi13">'[1]Forma 13'!$CM$191</definedName>
    <definedName name="SIS066_F_Isvisotiesiogi2Silumosperdavi14">'[1]Forma 13'!$DF$191</definedName>
    <definedName name="SIS066_F_Isvisotiesiogi2Silumosperdavi15">'[1]Forma 13'!$DY$191</definedName>
    <definedName name="SIS066_F_Isvisotiesiogi2Silumosperdavi16">'[1]Forma 13'!$ER$191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A62" i="1" l="1"/>
  <c r="DS62" i="1"/>
  <c r="CU62" i="1"/>
  <c r="CM62" i="1"/>
  <c r="BO62" i="1"/>
  <c r="BG62" i="1"/>
  <c r="AI62" i="1"/>
  <c r="AA62" i="1"/>
  <c r="X61" i="1"/>
  <c r="W61" i="1"/>
  <c r="V61" i="1"/>
  <c r="U61" i="1"/>
  <c r="T61" i="1"/>
  <c r="S61" i="1"/>
  <c r="R61" i="1"/>
  <c r="Q61" i="1"/>
  <c r="P61" i="1"/>
  <c r="O61" i="1"/>
  <c r="N61" i="1"/>
  <c r="M61" i="1"/>
  <c r="L61" i="1"/>
  <c r="K61" i="1"/>
  <c r="G61" i="1" s="1"/>
  <c r="J61" i="1"/>
  <c r="I61" i="1"/>
  <c r="DM60" i="1"/>
  <c r="DD60" i="1"/>
  <c r="DC60" i="1"/>
  <c r="CV60" i="1"/>
  <c r="CU60" i="1"/>
  <c r="BI60" i="1"/>
  <c r="AJ60" i="1"/>
  <c r="AI60" i="1"/>
  <c r="Y60" i="1"/>
  <c r="H60" i="1"/>
  <c r="W59" i="1"/>
  <c r="V59" i="1"/>
  <c r="U59" i="1"/>
  <c r="T59" i="1"/>
  <c r="S59" i="1"/>
  <c r="R59" i="1"/>
  <c r="Q59" i="1"/>
  <c r="P59" i="1"/>
  <c r="O59" i="1"/>
  <c r="N59" i="1"/>
  <c r="M59" i="1"/>
  <c r="L59" i="1"/>
  <c r="K59" i="1"/>
  <c r="J59" i="1"/>
  <c r="I59" i="1"/>
  <c r="G59" i="1"/>
  <c r="ED58" i="1"/>
  <c r="DG58" i="1"/>
  <c r="DF58" i="1"/>
  <c r="BR58" i="1"/>
  <c r="AU58" i="1"/>
  <c r="AU62" i="1" s="1"/>
  <c r="AT58" i="1"/>
  <c r="AT62" i="1" s="1"/>
  <c r="H58" i="1"/>
  <c r="H62" i="1" s="1"/>
  <c r="X57" i="1"/>
  <c r="W57" i="1"/>
  <c r="V57" i="1"/>
  <c r="U57" i="1"/>
  <c r="T57" i="1"/>
  <c r="S57" i="1"/>
  <c r="R57" i="1"/>
  <c r="Q57" i="1"/>
  <c r="P57" i="1"/>
  <c r="O57" i="1"/>
  <c r="N57" i="1"/>
  <c r="M57" i="1"/>
  <c r="L57" i="1"/>
  <c r="K57" i="1"/>
  <c r="J57" i="1"/>
  <c r="I57" i="1"/>
  <c r="G57" i="1" s="1"/>
  <c r="X56" i="1"/>
  <c r="W56" i="1"/>
  <c r="V56" i="1"/>
  <c r="U56" i="1"/>
  <c r="T56" i="1"/>
  <c r="S56" i="1"/>
  <c r="R56" i="1"/>
  <c r="Q56" i="1"/>
  <c r="P56" i="1"/>
  <c r="O56" i="1"/>
  <c r="N56" i="1"/>
  <c r="M56" i="1"/>
  <c r="L56" i="1"/>
  <c r="K56" i="1"/>
  <c r="J56" i="1"/>
  <c r="I56" i="1"/>
  <c r="EE55" i="1"/>
  <c r="EE58" i="1" s="1"/>
  <c r="CQ55" i="1"/>
  <c r="CQ58" i="1" s="1"/>
  <c r="BS55" i="1"/>
  <c r="BS58" i="1" s="1"/>
  <c r="AE55" i="1"/>
  <c r="AE58" i="1" s="1"/>
  <c r="X55" i="1"/>
  <c r="X58" i="1" s="1"/>
  <c r="X62" i="1" s="1"/>
  <c r="X54" i="1"/>
  <c r="W54" i="1"/>
  <c r="V54" i="1"/>
  <c r="U54" i="1"/>
  <c r="T54" i="1"/>
  <c r="S54" i="1"/>
  <c r="R54" i="1"/>
  <c r="Q54" i="1"/>
  <c r="P54" i="1"/>
  <c r="O54" i="1"/>
  <c r="N54" i="1"/>
  <c r="M54" i="1"/>
  <c r="L54" i="1"/>
  <c r="K54" i="1"/>
  <c r="J54" i="1"/>
  <c r="I54" i="1"/>
  <c r="G54" i="1"/>
  <c r="L53" i="1"/>
  <c r="J53" i="1"/>
  <c r="I53" i="1"/>
  <c r="G53" i="1"/>
  <c r="X52" i="1"/>
  <c r="W52" i="1"/>
  <c r="V52" i="1"/>
  <c r="U52" i="1"/>
  <c r="U46" i="1" s="1"/>
  <c r="U55" i="1" s="1"/>
  <c r="U58" i="1" s="1"/>
  <c r="T52" i="1"/>
  <c r="S52" i="1"/>
  <c r="R52" i="1"/>
  <c r="Q52" i="1"/>
  <c r="P52" i="1"/>
  <c r="O52" i="1"/>
  <c r="N52" i="1"/>
  <c r="M52" i="1"/>
  <c r="L52" i="1"/>
  <c r="K52" i="1"/>
  <c r="J52" i="1"/>
  <c r="I52" i="1"/>
  <c r="X51" i="1"/>
  <c r="W51" i="1"/>
  <c r="V51" i="1"/>
  <c r="U51" i="1"/>
  <c r="T51" i="1"/>
  <c r="S51" i="1"/>
  <c r="R51" i="1"/>
  <c r="Q51" i="1"/>
  <c r="P51" i="1"/>
  <c r="O51" i="1"/>
  <c r="N51" i="1"/>
  <c r="G51" i="1" s="1"/>
  <c r="M51" i="1"/>
  <c r="L51" i="1"/>
  <c r="K51" i="1"/>
  <c r="J51" i="1"/>
  <c r="I51" i="1"/>
  <c r="W50" i="1"/>
  <c r="V50" i="1"/>
  <c r="U50" i="1"/>
  <c r="T50" i="1"/>
  <c r="S50" i="1"/>
  <c r="R50" i="1"/>
  <c r="Q50" i="1"/>
  <c r="P50" i="1"/>
  <c r="O50" i="1"/>
  <c r="N50" i="1"/>
  <c r="G50" i="1" s="1"/>
  <c r="M50" i="1"/>
  <c r="L50" i="1"/>
  <c r="K50" i="1"/>
  <c r="J50" i="1"/>
  <c r="I50" i="1"/>
  <c r="W49" i="1"/>
  <c r="V49" i="1"/>
  <c r="U49" i="1"/>
  <c r="T49" i="1"/>
  <c r="S49" i="1"/>
  <c r="R49" i="1"/>
  <c r="Q49" i="1"/>
  <c r="P49" i="1"/>
  <c r="O49" i="1"/>
  <c r="N49" i="1"/>
  <c r="M49" i="1"/>
  <c r="L49" i="1"/>
  <c r="K49" i="1"/>
  <c r="J49" i="1"/>
  <c r="I49" i="1"/>
  <c r="G49" i="1" s="1"/>
  <c r="W48" i="1"/>
  <c r="V48" i="1"/>
  <c r="U48" i="1"/>
  <c r="T48" i="1"/>
  <c r="S48" i="1"/>
  <c r="R48" i="1"/>
  <c r="Q48" i="1"/>
  <c r="P48" i="1"/>
  <c r="O48" i="1"/>
  <c r="N48" i="1"/>
  <c r="M48" i="1"/>
  <c r="L48" i="1"/>
  <c r="K48" i="1"/>
  <c r="J48" i="1"/>
  <c r="I48" i="1"/>
  <c r="G48" i="1" s="1"/>
  <c r="J47" i="1"/>
  <c r="I47" i="1"/>
  <c r="G47" i="1" s="1"/>
  <c r="ES46" i="1"/>
  <c r="ES55" i="1" s="1"/>
  <c r="ES58" i="1" s="1"/>
  <c r="ES62" i="1" s="1"/>
  <c r="ER46" i="1"/>
  <c r="ER55" i="1" s="1"/>
  <c r="ER58" i="1" s="1"/>
  <c r="ER62" i="1" s="1"/>
  <c r="EQ46" i="1"/>
  <c r="EQ55" i="1" s="1"/>
  <c r="EQ58" i="1" s="1"/>
  <c r="EQ60" i="1" s="1"/>
  <c r="EP46" i="1"/>
  <c r="EP55" i="1" s="1"/>
  <c r="EP58" i="1" s="1"/>
  <c r="EO46" i="1"/>
  <c r="EO55" i="1" s="1"/>
  <c r="EO58" i="1" s="1"/>
  <c r="EN46" i="1"/>
  <c r="EN55" i="1" s="1"/>
  <c r="EN58" i="1" s="1"/>
  <c r="EM46" i="1"/>
  <c r="EM55" i="1" s="1"/>
  <c r="EM58" i="1" s="1"/>
  <c r="EL46" i="1"/>
  <c r="EL55" i="1" s="1"/>
  <c r="EL58" i="1" s="1"/>
  <c r="EK46" i="1"/>
  <c r="EK55" i="1" s="1"/>
  <c r="EK58" i="1" s="1"/>
  <c r="EJ46" i="1"/>
  <c r="EJ55" i="1" s="1"/>
  <c r="EJ58" i="1" s="1"/>
  <c r="EI46" i="1"/>
  <c r="EI55" i="1" s="1"/>
  <c r="EI58" i="1" s="1"/>
  <c r="EI60" i="1" s="1"/>
  <c r="EH46" i="1"/>
  <c r="EH55" i="1" s="1"/>
  <c r="EH58" i="1" s="1"/>
  <c r="EG46" i="1"/>
  <c r="EG55" i="1" s="1"/>
  <c r="EG58" i="1" s="1"/>
  <c r="EF46" i="1"/>
  <c r="EF55" i="1" s="1"/>
  <c r="EF58" i="1" s="1"/>
  <c r="EE46" i="1"/>
  <c r="ED46" i="1"/>
  <c r="ED55" i="1" s="1"/>
  <c r="EC46" i="1"/>
  <c r="EC55" i="1" s="1"/>
  <c r="EC58" i="1" s="1"/>
  <c r="EB46" i="1"/>
  <c r="EB55" i="1" s="1"/>
  <c r="EB58" i="1" s="1"/>
  <c r="EB62" i="1" s="1"/>
  <c r="EA46" i="1"/>
  <c r="EA55" i="1" s="1"/>
  <c r="EA58" i="1" s="1"/>
  <c r="DZ46" i="1"/>
  <c r="DZ55" i="1" s="1"/>
  <c r="DZ58" i="1" s="1"/>
  <c r="DY46" i="1"/>
  <c r="DY55" i="1" s="1"/>
  <c r="DY58" i="1" s="1"/>
  <c r="DX46" i="1"/>
  <c r="DX55" i="1" s="1"/>
  <c r="DX58" i="1" s="1"/>
  <c r="DW46" i="1"/>
  <c r="DW55" i="1" s="1"/>
  <c r="DW58" i="1" s="1"/>
  <c r="DV46" i="1"/>
  <c r="DV55" i="1" s="1"/>
  <c r="DV58" i="1" s="1"/>
  <c r="DU46" i="1"/>
  <c r="DU55" i="1" s="1"/>
  <c r="DU58" i="1" s="1"/>
  <c r="DU62" i="1" s="1"/>
  <c r="DT46" i="1"/>
  <c r="DT55" i="1" s="1"/>
  <c r="DT58" i="1" s="1"/>
  <c r="DS46" i="1"/>
  <c r="DS55" i="1" s="1"/>
  <c r="DS58" i="1" s="1"/>
  <c r="DS60" i="1" s="1"/>
  <c r="DR46" i="1"/>
  <c r="DR55" i="1" s="1"/>
  <c r="DR58" i="1" s="1"/>
  <c r="DQ46" i="1"/>
  <c r="DQ55" i="1" s="1"/>
  <c r="DQ58" i="1" s="1"/>
  <c r="DP46" i="1"/>
  <c r="DP55" i="1" s="1"/>
  <c r="DP58" i="1" s="1"/>
  <c r="DO46" i="1"/>
  <c r="DO55" i="1" s="1"/>
  <c r="DO58" i="1" s="1"/>
  <c r="DN46" i="1"/>
  <c r="DN55" i="1" s="1"/>
  <c r="DN58" i="1" s="1"/>
  <c r="DM46" i="1"/>
  <c r="DM55" i="1" s="1"/>
  <c r="DM58" i="1" s="1"/>
  <c r="DM62" i="1" s="1"/>
  <c r="DL46" i="1"/>
  <c r="DL55" i="1" s="1"/>
  <c r="DL58" i="1" s="1"/>
  <c r="DK46" i="1"/>
  <c r="DK55" i="1" s="1"/>
  <c r="DK58" i="1" s="1"/>
  <c r="DK62" i="1" s="1"/>
  <c r="DJ46" i="1"/>
  <c r="DJ55" i="1" s="1"/>
  <c r="DJ58" i="1" s="1"/>
  <c r="DJ62" i="1" s="1"/>
  <c r="DI46" i="1"/>
  <c r="DI55" i="1" s="1"/>
  <c r="DI58" i="1" s="1"/>
  <c r="DH46" i="1"/>
  <c r="DH55" i="1" s="1"/>
  <c r="DH58" i="1" s="1"/>
  <c r="DG46" i="1"/>
  <c r="DG55" i="1" s="1"/>
  <c r="DF46" i="1"/>
  <c r="DF55" i="1" s="1"/>
  <c r="DE46" i="1"/>
  <c r="DE55" i="1" s="1"/>
  <c r="DE58" i="1" s="1"/>
  <c r="DD46" i="1"/>
  <c r="DD55" i="1" s="1"/>
  <c r="DD58" i="1" s="1"/>
  <c r="DD62" i="1" s="1"/>
  <c r="DC46" i="1"/>
  <c r="DC55" i="1" s="1"/>
  <c r="DC58" i="1" s="1"/>
  <c r="DC62" i="1" s="1"/>
  <c r="DB46" i="1"/>
  <c r="DB55" i="1" s="1"/>
  <c r="DB58" i="1" s="1"/>
  <c r="DA46" i="1"/>
  <c r="DA55" i="1" s="1"/>
  <c r="DA58" i="1" s="1"/>
  <c r="CZ46" i="1"/>
  <c r="CZ55" i="1" s="1"/>
  <c r="CZ58" i="1" s="1"/>
  <c r="CY46" i="1"/>
  <c r="CY55" i="1" s="1"/>
  <c r="CY58" i="1" s="1"/>
  <c r="CX46" i="1"/>
  <c r="CX55" i="1" s="1"/>
  <c r="CX58" i="1" s="1"/>
  <c r="CW46" i="1"/>
  <c r="CW55" i="1" s="1"/>
  <c r="CW58" i="1" s="1"/>
  <c r="CV46" i="1"/>
  <c r="CV55" i="1" s="1"/>
  <c r="CV58" i="1" s="1"/>
  <c r="CV62" i="1" s="1"/>
  <c r="CU46" i="1"/>
  <c r="CU55" i="1" s="1"/>
  <c r="CU58" i="1" s="1"/>
  <c r="CT46" i="1"/>
  <c r="CT55" i="1" s="1"/>
  <c r="CT58" i="1" s="1"/>
  <c r="CT62" i="1" s="1"/>
  <c r="CS46" i="1"/>
  <c r="CS55" i="1" s="1"/>
  <c r="CS58" i="1" s="1"/>
  <c r="CS62" i="1" s="1"/>
  <c r="CR46" i="1"/>
  <c r="CR55" i="1" s="1"/>
  <c r="CR58" i="1" s="1"/>
  <c r="CQ46" i="1"/>
  <c r="CP46" i="1"/>
  <c r="CP55" i="1" s="1"/>
  <c r="CP58" i="1" s="1"/>
  <c r="CO46" i="1"/>
  <c r="CO55" i="1" s="1"/>
  <c r="CO58" i="1" s="1"/>
  <c r="CN46" i="1"/>
  <c r="CN55" i="1" s="1"/>
  <c r="CN58" i="1" s="1"/>
  <c r="CM46" i="1"/>
  <c r="CM55" i="1" s="1"/>
  <c r="CM58" i="1" s="1"/>
  <c r="CM60" i="1" s="1"/>
  <c r="CL46" i="1"/>
  <c r="CL55" i="1" s="1"/>
  <c r="CL58" i="1" s="1"/>
  <c r="CL60" i="1" s="1"/>
  <c r="CK46" i="1"/>
  <c r="CK55" i="1" s="1"/>
  <c r="CK58" i="1" s="1"/>
  <c r="CJ46" i="1"/>
  <c r="CJ55" i="1" s="1"/>
  <c r="CJ58" i="1" s="1"/>
  <c r="CI46" i="1"/>
  <c r="CI55" i="1" s="1"/>
  <c r="CI58" i="1" s="1"/>
  <c r="CH46" i="1"/>
  <c r="CH55" i="1" s="1"/>
  <c r="CH58" i="1" s="1"/>
  <c r="CG46" i="1"/>
  <c r="CG55" i="1" s="1"/>
  <c r="CG58" i="1" s="1"/>
  <c r="CF46" i="1"/>
  <c r="CF55" i="1" s="1"/>
  <c r="CF58" i="1" s="1"/>
  <c r="CE46" i="1"/>
  <c r="CE55" i="1" s="1"/>
  <c r="CE58" i="1" s="1"/>
  <c r="CE60" i="1" s="1"/>
  <c r="CD46" i="1"/>
  <c r="CD55" i="1" s="1"/>
  <c r="CD58" i="1" s="1"/>
  <c r="CC46" i="1"/>
  <c r="CC55" i="1" s="1"/>
  <c r="CC58" i="1" s="1"/>
  <c r="CC62" i="1" s="1"/>
  <c r="CB46" i="1"/>
  <c r="CB55" i="1" s="1"/>
  <c r="CB58" i="1" s="1"/>
  <c r="CB62" i="1" s="1"/>
  <c r="CA46" i="1"/>
  <c r="CA55" i="1" s="1"/>
  <c r="CA58" i="1" s="1"/>
  <c r="BZ46" i="1"/>
  <c r="BZ55" i="1" s="1"/>
  <c r="BZ58" i="1" s="1"/>
  <c r="BY46" i="1"/>
  <c r="BY55" i="1" s="1"/>
  <c r="BY58" i="1" s="1"/>
  <c r="BX46" i="1"/>
  <c r="BX55" i="1" s="1"/>
  <c r="BX58" i="1" s="1"/>
  <c r="BW46" i="1"/>
  <c r="BW55" i="1" s="1"/>
  <c r="BW58" i="1" s="1"/>
  <c r="BW60" i="1" s="1"/>
  <c r="BV46" i="1"/>
  <c r="BV55" i="1" s="1"/>
  <c r="BV58" i="1" s="1"/>
  <c r="BU46" i="1"/>
  <c r="BU55" i="1" s="1"/>
  <c r="BU58" i="1" s="1"/>
  <c r="BT46" i="1"/>
  <c r="BT55" i="1" s="1"/>
  <c r="BT58" i="1" s="1"/>
  <c r="BS46" i="1"/>
  <c r="BR46" i="1"/>
  <c r="BR55" i="1" s="1"/>
  <c r="BQ46" i="1"/>
  <c r="BQ55" i="1" s="1"/>
  <c r="BQ58" i="1" s="1"/>
  <c r="BP46" i="1"/>
  <c r="BP55" i="1" s="1"/>
  <c r="BP58" i="1" s="1"/>
  <c r="BO46" i="1"/>
  <c r="BO55" i="1" s="1"/>
  <c r="BO58" i="1" s="1"/>
  <c r="BO60" i="1" s="1"/>
  <c r="BN46" i="1"/>
  <c r="BN55" i="1" s="1"/>
  <c r="BN58" i="1" s="1"/>
  <c r="BM46" i="1"/>
  <c r="BM55" i="1" s="1"/>
  <c r="BM58" i="1" s="1"/>
  <c r="BL46" i="1"/>
  <c r="BL55" i="1" s="1"/>
  <c r="BL58" i="1" s="1"/>
  <c r="BL62" i="1" s="1"/>
  <c r="BK46" i="1"/>
  <c r="BK55" i="1" s="1"/>
  <c r="BK58" i="1" s="1"/>
  <c r="BK62" i="1" s="1"/>
  <c r="BJ46" i="1"/>
  <c r="BJ55" i="1" s="1"/>
  <c r="BJ58" i="1" s="1"/>
  <c r="BJ62" i="1" s="1"/>
  <c r="BI46" i="1"/>
  <c r="BI55" i="1" s="1"/>
  <c r="BI58" i="1" s="1"/>
  <c r="BI62" i="1" s="1"/>
  <c r="BH46" i="1"/>
  <c r="BH55" i="1" s="1"/>
  <c r="BH58" i="1" s="1"/>
  <c r="BG46" i="1"/>
  <c r="BG55" i="1" s="1"/>
  <c r="BG58" i="1" s="1"/>
  <c r="BG60" i="1" s="1"/>
  <c r="BF46" i="1"/>
  <c r="BF55" i="1" s="1"/>
  <c r="BF58" i="1" s="1"/>
  <c r="BE46" i="1"/>
  <c r="BE55" i="1" s="1"/>
  <c r="BE58" i="1" s="1"/>
  <c r="BD46" i="1"/>
  <c r="BD55" i="1" s="1"/>
  <c r="BD58" i="1" s="1"/>
  <c r="BC46" i="1"/>
  <c r="BC55" i="1" s="1"/>
  <c r="BC58" i="1" s="1"/>
  <c r="BB46" i="1"/>
  <c r="BB55" i="1" s="1"/>
  <c r="BB58" i="1" s="1"/>
  <c r="BA46" i="1"/>
  <c r="BA55" i="1" s="1"/>
  <c r="BA58" i="1" s="1"/>
  <c r="BA62" i="1" s="1"/>
  <c r="AZ46" i="1"/>
  <c r="AZ55" i="1" s="1"/>
  <c r="AZ58" i="1" s="1"/>
  <c r="AY46" i="1"/>
  <c r="AY55" i="1" s="1"/>
  <c r="AY58" i="1" s="1"/>
  <c r="AY60" i="1" s="1"/>
  <c r="AX46" i="1"/>
  <c r="AX55" i="1" s="1"/>
  <c r="AX58" i="1" s="1"/>
  <c r="AW46" i="1"/>
  <c r="AW55" i="1" s="1"/>
  <c r="AW58" i="1" s="1"/>
  <c r="AV46" i="1"/>
  <c r="AV55" i="1" s="1"/>
  <c r="AV58" i="1" s="1"/>
  <c r="AU46" i="1"/>
  <c r="AU55" i="1" s="1"/>
  <c r="AT46" i="1"/>
  <c r="AT55" i="1" s="1"/>
  <c r="AS46" i="1"/>
  <c r="AS55" i="1" s="1"/>
  <c r="AS58" i="1" s="1"/>
  <c r="AR46" i="1"/>
  <c r="AR55" i="1" s="1"/>
  <c r="AR58" i="1" s="1"/>
  <c r="AR62" i="1" s="1"/>
  <c r="AQ46" i="1"/>
  <c r="AQ55" i="1" s="1"/>
  <c r="AQ58" i="1" s="1"/>
  <c r="AQ62" i="1" s="1"/>
  <c r="AP46" i="1"/>
  <c r="AP55" i="1" s="1"/>
  <c r="AP58" i="1" s="1"/>
  <c r="AO46" i="1"/>
  <c r="AO55" i="1" s="1"/>
  <c r="AO58" i="1" s="1"/>
  <c r="AN46" i="1"/>
  <c r="AN55" i="1" s="1"/>
  <c r="AN58" i="1" s="1"/>
  <c r="AM46" i="1"/>
  <c r="AM55" i="1" s="1"/>
  <c r="AM58" i="1" s="1"/>
  <c r="AL46" i="1"/>
  <c r="AL55" i="1" s="1"/>
  <c r="AL58" i="1" s="1"/>
  <c r="AK46" i="1"/>
  <c r="AK55" i="1" s="1"/>
  <c r="AK58" i="1" s="1"/>
  <c r="AJ46" i="1"/>
  <c r="AJ55" i="1" s="1"/>
  <c r="AJ58" i="1" s="1"/>
  <c r="AJ62" i="1" s="1"/>
  <c r="AI46" i="1"/>
  <c r="AI55" i="1" s="1"/>
  <c r="AI58" i="1" s="1"/>
  <c r="AH46" i="1"/>
  <c r="AH55" i="1" s="1"/>
  <c r="AH58" i="1" s="1"/>
  <c r="AH60" i="1" s="1"/>
  <c r="AG46" i="1"/>
  <c r="AG55" i="1" s="1"/>
  <c r="AG58" i="1" s="1"/>
  <c r="AF46" i="1"/>
  <c r="AF55" i="1" s="1"/>
  <c r="AF58" i="1" s="1"/>
  <c r="AE46" i="1"/>
  <c r="AD46" i="1"/>
  <c r="AD55" i="1" s="1"/>
  <c r="AD58" i="1" s="1"/>
  <c r="AD62" i="1" s="1"/>
  <c r="AC46" i="1"/>
  <c r="AC55" i="1" s="1"/>
  <c r="AC58" i="1" s="1"/>
  <c r="AC62" i="1" s="1"/>
  <c r="AB46" i="1"/>
  <c r="AB55" i="1" s="1"/>
  <c r="AB58" i="1" s="1"/>
  <c r="AB62" i="1" s="1"/>
  <c r="AA46" i="1"/>
  <c r="AA55" i="1" s="1"/>
  <c r="AA58" i="1" s="1"/>
  <c r="AA60" i="1" s="1"/>
  <c r="Z46" i="1"/>
  <c r="Z55" i="1" s="1"/>
  <c r="Z58" i="1" s="1"/>
  <c r="Z60" i="1" s="1"/>
  <c r="Y46" i="1"/>
  <c r="Y55" i="1" s="1"/>
  <c r="Y58" i="1" s="1"/>
  <c r="Y62" i="1" s="1"/>
  <c r="X46" i="1"/>
  <c r="W46" i="1"/>
  <c r="W55" i="1" s="1"/>
  <c r="W58" i="1" s="1"/>
  <c r="W62" i="1" s="1"/>
  <c r="T46" i="1"/>
  <c r="T55" i="1" s="1"/>
  <c r="T58" i="1" s="1"/>
  <c r="S46" i="1"/>
  <c r="S55" i="1" s="1"/>
  <c r="S58" i="1" s="1"/>
  <c r="S60" i="1" s="1"/>
  <c r="R46" i="1"/>
  <c r="R55" i="1" s="1"/>
  <c r="Q46" i="1"/>
  <c r="P46" i="1"/>
  <c r="P55" i="1" s="1"/>
  <c r="P58" i="1" s="1"/>
  <c r="O46" i="1"/>
  <c r="O55" i="1" s="1"/>
  <c r="O58" i="1" s="1"/>
  <c r="L46" i="1"/>
  <c r="L55" i="1" s="1"/>
  <c r="L58" i="1" s="1"/>
  <c r="K46" i="1"/>
  <c r="K55" i="1" s="1"/>
  <c r="K58" i="1" s="1"/>
  <c r="J46" i="1"/>
  <c r="J55" i="1" s="1"/>
  <c r="I46" i="1"/>
  <c r="H46" i="1"/>
  <c r="EE33" i="1"/>
  <c r="AD33" i="1"/>
  <c r="X32" i="1"/>
  <c r="W32" i="1"/>
  <c r="V32" i="1"/>
  <c r="U32" i="1"/>
  <c r="T32" i="1"/>
  <c r="S32" i="1"/>
  <c r="R32" i="1"/>
  <c r="Q32" i="1"/>
  <c r="P32" i="1"/>
  <c r="O32" i="1"/>
  <c r="N32" i="1"/>
  <c r="G32" i="1" s="1"/>
  <c r="M32" i="1"/>
  <c r="L32" i="1"/>
  <c r="K32" i="1"/>
  <c r="J32" i="1"/>
  <c r="I32" i="1"/>
  <c r="EP31" i="1"/>
  <c r="DA31" i="1"/>
  <c r="W30" i="1"/>
  <c r="V30" i="1"/>
  <c r="U30" i="1"/>
  <c r="T30" i="1"/>
  <c r="S30" i="1"/>
  <c r="R30" i="1"/>
  <c r="Q30" i="1"/>
  <c r="P30" i="1"/>
  <c r="O30" i="1"/>
  <c r="N30" i="1"/>
  <c r="M30" i="1"/>
  <c r="L30" i="1"/>
  <c r="K30" i="1"/>
  <c r="J30" i="1"/>
  <c r="I30" i="1"/>
  <c r="EO29" i="1"/>
  <c r="DR29" i="1"/>
  <c r="AS29" i="1"/>
  <c r="AS31" i="1" s="1"/>
  <c r="H29" i="1"/>
  <c r="X28" i="1"/>
  <c r="W28" i="1"/>
  <c r="V28" i="1"/>
  <c r="U28" i="1"/>
  <c r="T28" i="1"/>
  <c r="S28" i="1"/>
  <c r="R28" i="1"/>
  <c r="Q28" i="1"/>
  <c r="P28" i="1"/>
  <c r="O28" i="1"/>
  <c r="N28" i="1"/>
  <c r="M28" i="1"/>
  <c r="L28" i="1"/>
  <c r="K28" i="1"/>
  <c r="J28" i="1"/>
  <c r="I28" i="1"/>
  <c r="X27" i="1"/>
  <c r="W27" i="1"/>
  <c r="V27" i="1"/>
  <c r="U27" i="1"/>
  <c r="T27" i="1"/>
  <c r="S27" i="1"/>
  <c r="R27" i="1"/>
  <c r="Q27" i="1"/>
  <c r="P27" i="1"/>
  <c r="O27" i="1"/>
  <c r="N27" i="1"/>
  <c r="M27" i="1"/>
  <c r="L27" i="1"/>
  <c r="K27" i="1"/>
  <c r="J27" i="1"/>
  <c r="I27" i="1"/>
  <c r="G27" i="1"/>
  <c r="EO26" i="1"/>
  <c r="EI26" i="1"/>
  <c r="EI29" i="1" s="1"/>
  <c r="EC26" i="1"/>
  <c r="EC29" i="1" s="1"/>
  <c r="DY26" i="1"/>
  <c r="DY29" i="1" s="1"/>
  <c r="DQ26" i="1"/>
  <c r="DQ29" i="1" s="1"/>
  <c r="DM26" i="1"/>
  <c r="DM29" i="1" s="1"/>
  <c r="DI26" i="1"/>
  <c r="DI29" i="1" s="1"/>
  <c r="DB26" i="1"/>
  <c r="DB29" i="1" s="1"/>
  <c r="CU26" i="1"/>
  <c r="CU29" i="1" s="1"/>
  <c r="CS26" i="1"/>
  <c r="CS29" i="1" s="1"/>
  <c r="CS33" i="1" s="1"/>
  <c r="CK26" i="1"/>
  <c r="CK29" i="1" s="1"/>
  <c r="CH26" i="1"/>
  <c r="CH29" i="1" s="1"/>
  <c r="CC26" i="1"/>
  <c r="CC29" i="1" s="1"/>
  <c r="CC33" i="1" s="1"/>
  <c r="BY26" i="1"/>
  <c r="BY29" i="1" s="1"/>
  <c r="BV26" i="1"/>
  <c r="BV29" i="1" s="1"/>
  <c r="BR26" i="1"/>
  <c r="BR29" i="1" s="1"/>
  <c r="BI26" i="1"/>
  <c r="BI29" i="1" s="1"/>
  <c r="BC26" i="1"/>
  <c r="BC29" i="1" s="1"/>
  <c r="AK26" i="1"/>
  <c r="AK29" i="1" s="1"/>
  <c r="AG26" i="1"/>
  <c r="AG29" i="1" s="1"/>
  <c r="AE26" i="1"/>
  <c r="AE29" i="1" s="1"/>
  <c r="AE31" i="1" s="1"/>
  <c r="ET25" i="1"/>
  <c r="ES25" i="1"/>
  <c r="ER25" i="1"/>
  <c r="EQ25" i="1"/>
  <c r="EP25" i="1"/>
  <c r="EO25" i="1"/>
  <c r="EN25" i="1"/>
  <c r="EM25" i="1"/>
  <c r="EL25" i="1"/>
  <c r="EK25" i="1"/>
  <c r="EJ25" i="1"/>
  <c r="EI25" i="1"/>
  <c r="EH25" i="1"/>
  <c r="EG25" i="1"/>
  <c r="EF25" i="1"/>
  <c r="EE25" i="1"/>
  <c r="ED25" i="1"/>
  <c r="ED26" i="1" s="1"/>
  <c r="ED29" i="1" s="1"/>
  <c r="ED31" i="1" s="1"/>
  <c r="EC25" i="1"/>
  <c r="EB25" i="1"/>
  <c r="EA25" i="1"/>
  <c r="DZ25" i="1"/>
  <c r="DY25" i="1"/>
  <c r="DX25" i="1"/>
  <c r="U25" i="1" s="1"/>
  <c r="DW25" i="1"/>
  <c r="DV25" i="1"/>
  <c r="DV26" i="1" s="1"/>
  <c r="DV29" i="1" s="1"/>
  <c r="DU25" i="1"/>
  <c r="DT25" i="1"/>
  <c r="DS25" i="1"/>
  <c r="DS26" i="1" s="1"/>
  <c r="DS29" i="1" s="1"/>
  <c r="DR25" i="1"/>
  <c r="DQ25" i="1"/>
  <c r="DP25" i="1"/>
  <c r="DO25" i="1"/>
  <c r="DN25" i="1"/>
  <c r="DN26" i="1" s="1"/>
  <c r="DN29" i="1" s="1"/>
  <c r="DM25" i="1"/>
  <c r="DL25" i="1"/>
  <c r="DK25" i="1"/>
  <c r="DJ25" i="1"/>
  <c r="DI25" i="1"/>
  <c r="DH25" i="1"/>
  <c r="DG25" i="1"/>
  <c r="DF25" i="1"/>
  <c r="DE25" i="1"/>
  <c r="DD25" i="1"/>
  <c r="DC25" i="1"/>
  <c r="DC26" i="1" s="1"/>
  <c r="DC29" i="1" s="1"/>
  <c r="DB25" i="1"/>
  <c r="DA25" i="1"/>
  <c r="CZ25" i="1"/>
  <c r="CY25" i="1"/>
  <c r="CX25" i="1"/>
  <c r="CX26" i="1" s="1"/>
  <c r="CX29" i="1" s="1"/>
  <c r="CW25" i="1"/>
  <c r="CV25" i="1"/>
  <c r="CU25" i="1"/>
  <c r="CT25" i="1"/>
  <c r="CS25" i="1"/>
  <c r="CR25" i="1"/>
  <c r="CQ25" i="1"/>
  <c r="CP25" i="1"/>
  <c r="CP26" i="1" s="1"/>
  <c r="CP29" i="1" s="1"/>
  <c r="CO25" i="1"/>
  <c r="CN25" i="1"/>
  <c r="CM25" i="1"/>
  <c r="CL25" i="1"/>
  <c r="CK25" i="1"/>
  <c r="CJ25" i="1"/>
  <c r="CI25" i="1"/>
  <c r="CH25" i="1"/>
  <c r="CG25" i="1"/>
  <c r="CF25" i="1"/>
  <c r="CE25" i="1"/>
  <c r="CD25" i="1"/>
  <c r="CC25" i="1"/>
  <c r="CB25" i="1"/>
  <c r="CA25" i="1"/>
  <c r="BZ25" i="1"/>
  <c r="BZ26" i="1" s="1"/>
  <c r="BZ29" i="1" s="1"/>
  <c r="BY25" i="1"/>
  <c r="BX25" i="1"/>
  <c r="BW25" i="1"/>
  <c r="S25" i="1" s="1"/>
  <c r="BV25" i="1"/>
  <c r="BU25" i="1"/>
  <c r="BT25" i="1"/>
  <c r="BS25" i="1"/>
  <c r="BR25" i="1"/>
  <c r="BQ25" i="1"/>
  <c r="BP25" i="1"/>
  <c r="BO25" i="1"/>
  <c r="K25" i="1" s="1"/>
  <c r="BN25" i="1"/>
  <c r="BM25" i="1"/>
  <c r="BL25" i="1"/>
  <c r="BK25" i="1"/>
  <c r="BJ25" i="1"/>
  <c r="BJ26" i="1" s="1"/>
  <c r="BJ29" i="1" s="1"/>
  <c r="BI25" i="1"/>
  <c r="BH25" i="1"/>
  <c r="BG25" i="1"/>
  <c r="T25" i="1" s="1"/>
  <c r="BF25" i="1"/>
  <c r="BE25" i="1"/>
  <c r="BD25" i="1"/>
  <c r="Q25" i="1" s="1"/>
  <c r="BC25" i="1"/>
  <c r="BB25" i="1"/>
  <c r="BA25" i="1"/>
  <c r="AZ25" i="1"/>
  <c r="AY25" i="1"/>
  <c r="AX25" i="1"/>
  <c r="AW25" i="1"/>
  <c r="AV25" i="1"/>
  <c r="I25" i="1" s="1"/>
  <c r="AU25" i="1"/>
  <c r="AT25" i="1"/>
  <c r="AT26" i="1" s="1"/>
  <c r="AT29" i="1" s="1"/>
  <c r="AT33" i="1" s="1"/>
  <c r="AS25" i="1"/>
  <c r="AR25" i="1"/>
  <c r="V25" i="1" s="1"/>
  <c r="AQ25" i="1"/>
  <c r="AQ26" i="1" s="1"/>
  <c r="AQ29" i="1" s="1"/>
  <c r="AP25" i="1"/>
  <c r="AO25" i="1"/>
  <c r="AN25" i="1"/>
  <c r="R25" i="1" s="1"/>
  <c r="AM25" i="1"/>
  <c r="AL25" i="1"/>
  <c r="AL26" i="1" s="1"/>
  <c r="AL29" i="1" s="1"/>
  <c r="AL33" i="1" s="1"/>
  <c r="AK25" i="1"/>
  <c r="AJ25" i="1"/>
  <c r="AI25" i="1"/>
  <c r="M25" i="1" s="1"/>
  <c r="AH25" i="1"/>
  <c r="AG25" i="1"/>
  <c r="AF25" i="1"/>
  <c r="J25" i="1" s="1"/>
  <c r="AE25" i="1"/>
  <c r="AD25" i="1"/>
  <c r="AD26" i="1" s="1"/>
  <c r="AD29" i="1" s="1"/>
  <c r="AC25" i="1"/>
  <c r="AB25" i="1"/>
  <c r="AA25" i="1"/>
  <c r="Z25" i="1"/>
  <c r="Y25" i="1"/>
  <c r="X25" i="1"/>
  <c r="N25" i="1"/>
  <c r="L25" i="1"/>
  <c r="L24" i="1"/>
  <c r="J24" i="1"/>
  <c r="I24" i="1"/>
  <c r="G24" i="1"/>
  <c r="X23" i="1"/>
  <c r="W23" i="1"/>
  <c r="V23" i="1"/>
  <c r="U23" i="1"/>
  <c r="T23" i="1"/>
  <c r="S23" i="1"/>
  <c r="R23" i="1"/>
  <c r="Q23" i="1"/>
  <c r="Q17" i="1" s="1"/>
  <c r="Q26" i="1" s="1"/>
  <c r="Q29" i="1" s="1"/>
  <c r="P23" i="1"/>
  <c r="O23" i="1"/>
  <c r="N23" i="1"/>
  <c r="M23" i="1"/>
  <c r="M17" i="1" s="1"/>
  <c r="L23" i="1"/>
  <c r="K23" i="1"/>
  <c r="J23" i="1"/>
  <c r="I23" i="1"/>
  <c r="G23" i="1" s="1"/>
  <c r="X22" i="1"/>
  <c r="W22" i="1"/>
  <c r="V22" i="1"/>
  <c r="U22" i="1"/>
  <c r="T22" i="1"/>
  <c r="S22" i="1"/>
  <c r="R22" i="1"/>
  <c r="R17" i="1" s="1"/>
  <c r="R26" i="1" s="1"/>
  <c r="R29" i="1" s="1"/>
  <c r="Q22" i="1"/>
  <c r="P22" i="1"/>
  <c r="O22" i="1"/>
  <c r="N22" i="1"/>
  <c r="M22" i="1"/>
  <c r="L22" i="1"/>
  <c r="K22" i="1"/>
  <c r="J22" i="1"/>
  <c r="I22" i="1"/>
  <c r="W21" i="1"/>
  <c r="V21" i="1"/>
  <c r="U21" i="1"/>
  <c r="T21" i="1"/>
  <c r="S21" i="1"/>
  <c r="R21" i="1"/>
  <c r="Q21" i="1"/>
  <c r="P21" i="1"/>
  <c r="O21" i="1"/>
  <c r="N21" i="1"/>
  <c r="M21" i="1"/>
  <c r="L21" i="1"/>
  <c r="K21" i="1"/>
  <c r="J21" i="1"/>
  <c r="I21" i="1"/>
  <c r="G21" i="1" s="1"/>
  <c r="W20" i="1"/>
  <c r="V20" i="1"/>
  <c r="U20" i="1"/>
  <c r="T20" i="1"/>
  <c r="S20" i="1"/>
  <c r="R20" i="1"/>
  <c r="Q20" i="1"/>
  <c r="P20" i="1"/>
  <c r="O20" i="1"/>
  <c r="N20" i="1"/>
  <c r="M20" i="1"/>
  <c r="L20" i="1"/>
  <c r="K20" i="1"/>
  <c r="J20" i="1"/>
  <c r="I20" i="1"/>
  <c r="W19" i="1"/>
  <c r="V19" i="1"/>
  <c r="U19" i="1"/>
  <c r="T19" i="1"/>
  <c r="S19" i="1"/>
  <c r="R19" i="1"/>
  <c r="Q19" i="1"/>
  <c r="P19" i="1"/>
  <c r="O19" i="1"/>
  <c r="N19" i="1"/>
  <c r="M19" i="1"/>
  <c r="L19" i="1"/>
  <c r="K19" i="1"/>
  <c r="K17" i="1" s="1"/>
  <c r="J19" i="1"/>
  <c r="I19" i="1"/>
  <c r="J18" i="1"/>
  <c r="I18" i="1"/>
  <c r="G18" i="1" s="1"/>
  <c r="ES17" i="1"/>
  <c r="ES26" i="1" s="1"/>
  <c r="ES29" i="1" s="1"/>
  <c r="ES33" i="1" s="1"/>
  <c r="ER17" i="1"/>
  <c r="ER26" i="1" s="1"/>
  <c r="ER29" i="1" s="1"/>
  <c r="ER33" i="1" s="1"/>
  <c r="EQ17" i="1"/>
  <c r="EP17" i="1"/>
  <c r="EP26" i="1" s="1"/>
  <c r="EP29" i="1" s="1"/>
  <c r="EP33" i="1" s="1"/>
  <c r="EO17" i="1"/>
  <c r="EN17" i="1"/>
  <c r="EM17" i="1"/>
  <c r="EM26" i="1" s="1"/>
  <c r="EM29" i="1" s="1"/>
  <c r="EL17" i="1"/>
  <c r="EL26" i="1" s="1"/>
  <c r="EL29" i="1" s="1"/>
  <c r="EL31" i="1" s="1"/>
  <c r="EK17" i="1"/>
  <c r="EK26" i="1" s="1"/>
  <c r="EK29" i="1" s="1"/>
  <c r="EJ17" i="1"/>
  <c r="EJ26" i="1" s="1"/>
  <c r="EJ29" i="1" s="1"/>
  <c r="EI17" i="1"/>
  <c r="EH17" i="1"/>
  <c r="EH26" i="1" s="1"/>
  <c r="EH29" i="1" s="1"/>
  <c r="EG17" i="1"/>
  <c r="EG26" i="1" s="1"/>
  <c r="EG29" i="1" s="1"/>
  <c r="EG33" i="1" s="1"/>
  <c r="EF17" i="1"/>
  <c r="EE17" i="1"/>
  <c r="EE26" i="1" s="1"/>
  <c r="EE29" i="1" s="1"/>
  <c r="EE31" i="1" s="1"/>
  <c r="ED17" i="1"/>
  <c r="EC17" i="1"/>
  <c r="EB17" i="1"/>
  <c r="EB26" i="1" s="1"/>
  <c r="EB29" i="1" s="1"/>
  <c r="EB33" i="1" s="1"/>
  <c r="EA17" i="1"/>
  <c r="EA26" i="1" s="1"/>
  <c r="EA29" i="1" s="1"/>
  <c r="EA33" i="1" s="1"/>
  <c r="DZ17" i="1"/>
  <c r="DZ26" i="1" s="1"/>
  <c r="DZ29" i="1" s="1"/>
  <c r="DY17" i="1"/>
  <c r="DX17" i="1"/>
  <c r="DW17" i="1"/>
  <c r="DW26" i="1" s="1"/>
  <c r="DW29" i="1" s="1"/>
  <c r="DV17" i="1"/>
  <c r="DU17" i="1"/>
  <c r="DU26" i="1" s="1"/>
  <c r="DU29" i="1" s="1"/>
  <c r="DT17" i="1"/>
  <c r="DT26" i="1" s="1"/>
  <c r="DT29" i="1" s="1"/>
  <c r="DS17" i="1"/>
  <c r="DR17" i="1"/>
  <c r="DR26" i="1" s="1"/>
  <c r="DQ17" i="1"/>
  <c r="DP17" i="1"/>
  <c r="DO17" i="1"/>
  <c r="DO26" i="1" s="1"/>
  <c r="DO29" i="1" s="1"/>
  <c r="DO33" i="1" s="1"/>
  <c r="DN17" i="1"/>
  <c r="DM17" i="1"/>
  <c r="DL17" i="1"/>
  <c r="DL26" i="1" s="1"/>
  <c r="DL29" i="1" s="1"/>
  <c r="DK17" i="1"/>
  <c r="DJ17" i="1"/>
  <c r="DJ26" i="1" s="1"/>
  <c r="DJ29" i="1" s="1"/>
  <c r="DJ33" i="1" s="1"/>
  <c r="DI17" i="1"/>
  <c r="DH17" i="1"/>
  <c r="DG17" i="1"/>
  <c r="DG26" i="1" s="1"/>
  <c r="DG29" i="1" s="1"/>
  <c r="DF17" i="1"/>
  <c r="DF26" i="1" s="1"/>
  <c r="DF29" i="1" s="1"/>
  <c r="DE17" i="1"/>
  <c r="DE26" i="1" s="1"/>
  <c r="DE29" i="1" s="1"/>
  <c r="DD17" i="1"/>
  <c r="DD26" i="1" s="1"/>
  <c r="DD29" i="1" s="1"/>
  <c r="DC17" i="1"/>
  <c r="DB17" i="1"/>
  <c r="DA17" i="1"/>
  <c r="DA26" i="1" s="1"/>
  <c r="DA29" i="1" s="1"/>
  <c r="DA33" i="1" s="1"/>
  <c r="CZ17" i="1"/>
  <c r="CY17" i="1"/>
  <c r="CY26" i="1" s="1"/>
  <c r="CY29" i="1" s="1"/>
  <c r="CY33" i="1" s="1"/>
  <c r="CX17" i="1"/>
  <c r="CW17" i="1"/>
  <c r="CW26" i="1" s="1"/>
  <c r="CW29" i="1" s="1"/>
  <c r="CV17" i="1"/>
  <c r="CV26" i="1" s="1"/>
  <c r="CV29" i="1" s="1"/>
  <c r="CU17" i="1"/>
  <c r="CT17" i="1"/>
  <c r="CT26" i="1" s="1"/>
  <c r="CT29" i="1" s="1"/>
  <c r="CT33" i="1" s="1"/>
  <c r="CS17" i="1"/>
  <c r="CR17" i="1"/>
  <c r="CQ17" i="1"/>
  <c r="CQ26" i="1" s="1"/>
  <c r="CQ29" i="1" s="1"/>
  <c r="CP17" i="1"/>
  <c r="CO17" i="1"/>
  <c r="CO26" i="1" s="1"/>
  <c r="CO29" i="1" s="1"/>
  <c r="CN17" i="1"/>
  <c r="CN26" i="1" s="1"/>
  <c r="CN29" i="1" s="1"/>
  <c r="CM17" i="1"/>
  <c r="CL17" i="1"/>
  <c r="CL26" i="1" s="1"/>
  <c r="CL29" i="1" s="1"/>
  <c r="CK17" i="1"/>
  <c r="CJ17" i="1"/>
  <c r="CI17" i="1"/>
  <c r="CI26" i="1" s="1"/>
  <c r="CI29" i="1" s="1"/>
  <c r="CH17" i="1"/>
  <c r="CG17" i="1"/>
  <c r="CG26" i="1" s="1"/>
  <c r="CG29" i="1" s="1"/>
  <c r="CF17" i="1"/>
  <c r="CF26" i="1" s="1"/>
  <c r="CF29" i="1" s="1"/>
  <c r="CE17" i="1"/>
  <c r="CE26" i="1" s="1"/>
  <c r="CE29" i="1" s="1"/>
  <c r="CD17" i="1"/>
  <c r="CD26" i="1" s="1"/>
  <c r="CD29" i="1" s="1"/>
  <c r="CC17" i="1"/>
  <c r="CB17" i="1"/>
  <c r="CA17" i="1"/>
  <c r="CA26" i="1" s="1"/>
  <c r="CA29" i="1" s="1"/>
  <c r="BZ17" i="1"/>
  <c r="BY17" i="1"/>
  <c r="BX17" i="1"/>
  <c r="BX26" i="1" s="1"/>
  <c r="BX29" i="1" s="1"/>
  <c r="BX33" i="1" s="1"/>
  <c r="BW17" i="1"/>
  <c r="BV17" i="1"/>
  <c r="BU17" i="1"/>
  <c r="BU26" i="1" s="1"/>
  <c r="BU29" i="1" s="1"/>
  <c r="BT17" i="1"/>
  <c r="BS17" i="1"/>
  <c r="BS26" i="1" s="1"/>
  <c r="BS29" i="1" s="1"/>
  <c r="BR17" i="1"/>
  <c r="BQ17" i="1"/>
  <c r="BQ26" i="1" s="1"/>
  <c r="BQ29" i="1" s="1"/>
  <c r="BP17" i="1"/>
  <c r="BP26" i="1" s="1"/>
  <c r="BP29" i="1" s="1"/>
  <c r="BO17" i="1"/>
  <c r="BN17" i="1"/>
  <c r="BN26" i="1" s="1"/>
  <c r="BN29" i="1" s="1"/>
  <c r="BM17" i="1"/>
  <c r="BM26" i="1" s="1"/>
  <c r="BM29" i="1" s="1"/>
  <c r="BL17" i="1"/>
  <c r="BK17" i="1"/>
  <c r="BK26" i="1" s="1"/>
  <c r="BK29" i="1" s="1"/>
  <c r="BK33" i="1" s="1"/>
  <c r="BJ17" i="1"/>
  <c r="BI17" i="1"/>
  <c r="BH17" i="1"/>
  <c r="BH26" i="1" s="1"/>
  <c r="BH29" i="1" s="1"/>
  <c r="BG17" i="1"/>
  <c r="BF17" i="1"/>
  <c r="BF26" i="1" s="1"/>
  <c r="BF29" i="1" s="1"/>
  <c r="BE17" i="1"/>
  <c r="BE26" i="1" s="1"/>
  <c r="BE29" i="1" s="1"/>
  <c r="BD17" i="1"/>
  <c r="BC17" i="1"/>
  <c r="BB17" i="1"/>
  <c r="BB26" i="1" s="1"/>
  <c r="BB29" i="1" s="1"/>
  <c r="BA17" i="1"/>
  <c r="BA26" i="1" s="1"/>
  <c r="BA29" i="1" s="1"/>
  <c r="AZ17" i="1"/>
  <c r="AZ26" i="1" s="1"/>
  <c r="AZ29" i="1" s="1"/>
  <c r="AY17" i="1"/>
  <c r="AY26" i="1" s="1"/>
  <c r="AY29" i="1" s="1"/>
  <c r="AX17" i="1"/>
  <c r="AX26" i="1" s="1"/>
  <c r="AX29" i="1" s="1"/>
  <c r="AW17" i="1"/>
  <c r="AW26" i="1" s="1"/>
  <c r="AW29" i="1" s="1"/>
  <c r="AV17" i="1"/>
  <c r="AU17" i="1"/>
  <c r="AU26" i="1" s="1"/>
  <c r="AU29" i="1" s="1"/>
  <c r="AU33" i="1" s="1"/>
  <c r="AT17" i="1"/>
  <c r="AS17" i="1"/>
  <c r="AS26" i="1" s="1"/>
  <c r="AR17" i="1"/>
  <c r="AR26" i="1" s="1"/>
  <c r="AR29" i="1" s="1"/>
  <c r="AQ17" i="1"/>
  <c r="AP17" i="1"/>
  <c r="AP26" i="1" s="1"/>
  <c r="AP29" i="1" s="1"/>
  <c r="AO17" i="1"/>
  <c r="AO26" i="1" s="1"/>
  <c r="AO29" i="1" s="1"/>
  <c r="AN17" i="1"/>
  <c r="AM17" i="1"/>
  <c r="AM26" i="1" s="1"/>
  <c r="AM29" i="1" s="1"/>
  <c r="AM33" i="1" s="1"/>
  <c r="AL17" i="1"/>
  <c r="AK17" i="1"/>
  <c r="AJ17" i="1"/>
  <c r="AJ26" i="1" s="1"/>
  <c r="AJ29" i="1" s="1"/>
  <c r="AI17" i="1"/>
  <c r="AI26" i="1" s="1"/>
  <c r="AI29" i="1" s="1"/>
  <c r="AH17" i="1"/>
  <c r="AH26" i="1" s="1"/>
  <c r="AH29" i="1" s="1"/>
  <c r="AG17" i="1"/>
  <c r="AF17" i="1"/>
  <c r="AE17" i="1"/>
  <c r="AD17" i="1"/>
  <c r="AC17" i="1"/>
  <c r="AC26" i="1" s="1"/>
  <c r="AC29" i="1" s="1"/>
  <c r="AC33" i="1" s="1"/>
  <c r="AB17" i="1"/>
  <c r="AB26" i="1" s="1"/>
  <c r="AB29" i="1" s="1"/>
  <c r="AB33" i="1" s="1"/>
  <c r="AA17" i="1"/>
  <c r="Z17" i="1"/>
  <c r="Z26" i="1" s="1"/>
  <c r="Z29" i="1" s="1"/>
  <c r="Y17" i="1"/>
  <c r="Y26" i="1" s="1"/>
  <c r="Y29" i="1" s="1"/>
  <c r="X17" i="1"/>
  <c r="W17" i="1"/>
  <c r="U17" i="1"/>
  <c r="T17" i="1"/>
  <c r="S17" i="1"/>
  <c r="S26" i="1" s="1"/>
  <c r="S29" i="1" s="1"/>
  <c r="P17" i="1"/>
  <c r="O17" i="1"/>
  <c r="L17" i="1"/>
  <c r="L26" i="1" s="1"/>
  <c r="L29" i="1" s="1"/>
  <c r="L33" i="1" s="1"/>
  <c r="J17" i="1"/>
  <c r="J26" i="1" s="1"/>
  <c r="J29" i="1" s="1"/>
  <c r="H17" i="1"/>
  <c r="ER13" i="1"/>
  <c r="EQ13" i="1"/>
  <c r="EN13" i="1"/>
  <c r="EM13" i="1"/>
  <c r="EI13" i="1"/>
  <c r="EH13" i="1"/>
  <c r="EE13" i="1"/>
  <c r="EA13" i="1"/>
  <c r="DZ13" i="1"/>
  <c r="DW13" i="1"/>
  <c r="DV13" i="1"/>
  <c r="DR13" i="1"/>
  <c r="DQ13" i="1"/>
  <c r="DN13" i="1"/>
  <c r="DJ13" i="1"/>
  <c r="DI13" i="1"/>
  <c r="DF13" i="1"/>
  <c r="DE13" i="1"/>
  <c r="DA13" i="1"/>
  <c r="CZ13" i="1"/>
  <c r="CW13" i="1"/>
  <c r="CS13" i="1"/>
  <c r="CR13" i="1"/>
  <c r="CO13" i="1"/>
  <c r="CN13" i="1"/>
  <c r="CJ13" i="1"/>
  <c r="CI13" i="1"/>
  <c r="CF13" i="1"/>
  <c r="CB13" i="1"/>
  <c r="CA13" i="1"/>
  <c r="BX13" i="1"/>
  <c r="BW13" i="1"/>
  <c r="BS13" i="1"/>
  <c r="BR13" i="1"/>
  <c r="BO13" i="1"/>
  <c r="BK13" i="1"/>
  <c r="BJ13" i="1"/>
  <c r="BG13" i="1"/>
  <c r="BF13" i="1"/>
  <c r="BB13" i="1"/>
  <c r="BA13" i="1"/>
  <c r="AX13" i="1"/>
  <c r="AT13" i="1"/>
  <c r="AS13" i="1"/>
  <c r="AP13" i="1"/>
  <c r="AO13" i="1"/>
  <c r="AK13" i="1"/>
  <c r="AJ13" i="1"/>
  <c r="AG13" i="1"/>
  <c r="AD13" i="1"/>
  <c r="AA13" i="1"/>
  <c r="X13" i="1"/>
  <c r="W13" i="1"/>
  <c r="T13" i="1"/>
  <c r="S13" i="1"/>
  <c r="O13" i="1"/>
  <c r="N13" i="1"/>
  <c r="K13" i="1"/>
  <c r="EC9" i="1"/>
  <c r="DL9" i="1"/>
  <c r="CU9" i="1"/>
  <c r="CD9" i="1"/>
  <c r="BM9" i="1"/>
  <c r="AV9" i="1"/>
  <c r="AE9" i="1"/>
  <c r="CJ60" i="1" l="1"/>
  <c r="CJ62" i="1"/>
  <c r="DX60" i="1"/>
  <c r="DX62" i="1"/>
  <c r="AI33" i="1"/>
  <c r="AI31" i="1"/>
  <c r="AK33" i="1"/>
  <c r="AK31" i="1"/>
  <c r="CK33" i="1"/>
  <c r="CK31" i="1"/>
  <c r="EC33" i="1"/>
  <c r="EC31" i="1"/>
  <c r="AY33" i="1"/>
  <c r="AY31" i="1"/>
  <c r="CE33" i="1"/>
  <c r="CE31" i="1"/>
  <c r="AR31" i="1"/>
  <c r="AR33" i="1"/>
  <c r="BP33" i="1"/>
  <c r="BP31" i="1"/>
  <c r="CV33" i="1"/>
  <c r="CV31" i="1"/>
  <c r="DL33" i="1"/>
  <c r="DL31" i="1"/>
  <c r="BQ33" i="1"/>
  <c r="BQ31" i="1"/>
  <c r="R33" i="1"/>
  <c r="R31" i="1"/>
  <c r="AQ33" i="1"/>
  <c r="AQ31" i="1"/>
  <c r="DC33" i="1"/>
  <c r="DC31" i="1"/>
  <c r="DS33" i="1"/>
  <c r="DS31" i="1"/>
  <c r="CU33" i="1"/>
  <c r="CU31" i="1"/>
  <c r="W26" i="1"/>
  <c r="W29" i="1" s="1"/>
  <c r="BS31" i="1"/>
  <c r="BS33" i="1"/>
  <c r="CA31" i="1"/>
  <c r="CA33" i="1"/>
  <c r="CI33" i="1"/>
  <c r="CI31" i="1"/>
  <c r="CQ31" i="1"/>
  <c r="CQ33" i="1"/>
  <c r="DB33" i="1"/>
  <c r="DB31" i="1"/>
  <c r="AZ33" i="1"/>
  <c r="AZ31" i="1"/>
  <c r="CF33" i="1"/>
  <c r="CF31" i="1"/>
  <c r="BA33" i="1"/>
  <c r="BA31" i="1"/>
  <c r="DE33" i="1"/>
  <c r="DE31" i="1"/>
  <c r="J33" i="1"/>
  <c r="J31" i="1"/>
  <c r="DI33" i="1"/>
  <c r="DI31" i="1"/>
  <c r="Y31" i="1"/>
  <c r="Y33" i="1"/>
  <c r="AW33" i="1"/>
  <c r="AW31" i="1"/>
  <c r="BE33" i="1"/>
  <c r="BE31" i="1"/>
  <c r="BJ33" i="1"/>
  <c r="BJ31" i="1"/>
  <c r="BZ31" i="1"/>
  <c r="BZ33" i="1"/>
  <c r="DN31" i="1"/>
  <c r="DN33" i="1"/>
  <c r="DV33" i="1"/>
  <c r="DV31" i="1"/>
  <c r="BY33" i="1"/>
  <c r="BY31" i="1"/>
  <c r="S33" i="1"/>
  <c r="S31" i="1"/>
  <c r="AJ31" i="1"/>
  <c r="AJ33" i="1"/>
  <c r="BH33" i="1"/>
  <c r="BH31" i="1"/>
  <c r="CN33" i="1"/>
  <c r="CN31" i="1"/>
  <c r="DD33" i="1"/>
  <c r="DD31" i="1"/>
  <c r="EJ33" i="1"/>
  <c r="EJ31" i="1"/>
  <c r="CW33" i="1"/>
  <c r="CW31" i="1"/>
  <c r="EK33" i="1"/>
  <c r="EK31" i="1"/>
  <c r="Q33" i="1"/>
  <c r="Q31" i="1"/>
  <c r="BV33" i="1"/>
  <c r="BV31" i="1"/>
  <c r="AO33" i="1"/>
  <c r="AO31" i="1"/>
  <c r="BM33" i="1"/>
  <c r="BM31" i="1"/>
  <c r="M26" i="1"/>
  <c r="M29" i="1" s="1"/>
  <c r="Z33" i="1"/>
  <c r="Z31" i="1"/>
  <c r="AH33" i="1"/>
  <c r="AH31" i="1"/>
  <c r="AP33" i="1"/>
  <c r="AP31" i="1"/>
  <c r="AX33" i="1"/>
  <c r="AX31" i="1"/>
  <c r="BF33" i="1"/>
  <c r="BF31" i="1"/>
  <c r="CL33" i="1"/>
  <c r="CL31" i="1"/>
  <c r="DZ33" i="1"/>
  <c r="DZ31" i="1"/>
  <c r="EH33" i="1"/>
  <c r="EH31" i="1"/>
  <c r="K26" i="1"/>
  <c r="K29" i="1" s="1"/>
  <c r="DQ33" i="1"/>
  <c r="DQ31" i="1"/>
  <c r="DT33" i="1"/>
  <c r="DT31" i="1"/>
  <c r="BC33" i="1"/>
  <c r="BC31" i="1"/>
  <c r="BR31" i="1"/>
  <c r="BR33" i="1"/>
  <c r="CH33" i="1"/>
  <c r="CH31" i="1"/>
  <c r="DM33" i="1"/>
  <c r="DM31" i="1"/>
  <c r="L62" i="1"/>
  <c r="L60" i="1"/>
  <c r="AF62" i="1"/>
  <c r="AF60" i="1"/>
  <c r="AN62" i="1"/>
  <c r="AN60" i="1"/>
  <c r="AV60" i="1"/>
  <c r="AV62" i="1"/>
  <c r="BD60" i="1"/>
  <c r="BD62" i="1"/>
  <c r="BT62" i="1"/>
  <c r="BT60" i="1"/>
  <c r="CR60" i="1"/>
  <c r="CR62" i="1"/>
  <c r="CZ62" i="1"/>
  <c r="CZ60" i="1"/>
  <c r="DH62" i="1"/>
  <c r="DH60" i="1"/>
  <c r="DP60" i="1"/>
  <c r="DP62" i="1"/>
  <c r="EF62" i="1"/>
  <c r="EF60" i="1"/>
  <c r="EN62" i="1"/>
  <c r="EN60" i="1"/>
  <c r="DG62" i="1"/>
  <c r="DG60" i="1"/>
  <c r="T26" i="1"/>
  <c r="T29" i="1" s="1"/>
  <c r="CG33" i="1"/>
  <c r="CG31" i="1"/>
  <c r="CO33" i="1"/>
  <c r="CO31" i="1"/>
  <c r="DU33" i="1"/>
  <c r="DU31" i="1"/>
  <c r="N17" i="1"/>
  <c r="N26" i="1" s="1"/>
  <c r="N29" i="1" s="1"/>
  <c r="V17" i="1"/>
  <c r="V26" i="1" s="1"/>
  <c r="V29" i="1" s="1"/>
  <c r="G22" i="1"/>
  <c r="BG26" i="1"/>
  <c r="BG29" i="1" s="1"/>
  <c r="H31" i="1"/>
  <c r="H33" i="1"/>
  <c r="CY31" i="1"/>
  <c r="EG31" i="1"/>
  <c r="AE33" i="1"/>
  <c r="ED33" i="1"/>
  <c r="O62" i="1"/>
  <c r="O60" i="1"/>
  <c r="AG62" i="1"/>
  <c r="AG60" i="1"/>
  <c r="AO62" i="1"/>
  <c r="AO60" i="1"/>
  <c r="AW62" i="1"/>
  <c r="AW60" i="1"/>
  <c r="BE62" i="1"/>
  <c r="BE60" i="1"/>
  <c r="BM60" i="1"/>
  <c r="BM62" i="1"/>
  <c r="BU60" i="1"/>
  <c r="BU62" i="1"/>
  <c r="CK62" i="1"/>
  <c r="CK60" i="1"/>
  <c r="DA62" i="1"/>
  <c r="DA60" i="1"/>
  <c r="DI62" i="1"/>
  <c r="DI60" i="1"/>
  <c r="DQ62" i="1"/>
  <c r="DQ60" i="1"/>
  <c r="DY62" i="1"/>
  <c r="DY60" i="1"/>
  <c r="EG60" i="1"/>
  <c r="EG62" i="1"/>
  <c r="EO60" i="1"/>
  <c r="EO62" i="1"/>
  <c r="G52" i="1"/>
  <c r="G46" i="1" s="1"/>
  <c r="G55" i="1" s="1"/>
  <c r="G58" i="1" s="1"/>
  <c r="G60" i="1" s="1"/>
  <c r="M46" i="1"/>
  <c r="M55" i="1" s="1"/>
  <c r="M58" i="1" s="1"/>
  <c r="U62" i="1"/>
  <c r="U60" i="1"/>
  <c r="EE62" i="1"/>
  <c r="EE60" i="1"/>
  <c r="ED60" i="1"/>
  <c r="ED62" i="1"/>
  <c r="AX60" i="1"/>
  <c r="AX62" i="1"/>
  <c r="BN60" i="1"/>
  <c r="BN62" i="1"/>
  <c r="DB60" i="1"/>
  <c r="DB62" i="1"/>
  <c r="EP60" i="1"/>
  <c r="EP62" i="1"/>
  <c r="U26" i="1"/>
  <c r="U29" i="1" s="1"/>
  <c r="BB31" i="1"/>
  <c r="BB33" i="1"/>
  <c r="EI33" i="1"/>
  <c r="EI31" i="1"/>
  <c r="DR33" i="1"/>
  <c r="DR31" i="1"/>
  <c r="P62" i="1"/>
  <c r="P60" i="1"/>
  <c r="AP60" i="1"/>
  <c r="AP62" i="1"/>
  <c r="BF60" i="1"/>
  <c r="BF62" i="1"/>
  <c r="BV60" i="1"/>
  <c r="BV62" i="1"/>
  <c r="CD62" i="1"/>
  <c r="CD60" i="1"/>
  <c r="DR60" i="1"/>
  <c r="DR62" i="1"/>
  <c r="DZ60" i="1"/>
  <c r="DZ62" i="1"/>
  <c r="EH60" i="1"/>
  <c r="EH62" i="1"/>
  <c r="CL62" i="1"/>
  <c r="DG33" i="1"/>
  <c r="DG31" i="1"/>
  <c r="G20" i="1"/>
  <c r="AG33" i="1"/>
  <c r="AG31" i="1"/>
  <c r="EO33" i="1"/>
  <c r="EO31" i="1"/>
  <c r="AL31" i="1"/>
  <c r="EL33" i="1"/>
  <c r="X26" i="1"/>
  <c r="X29" i="1" s="1"/>
  <c r="X33" i="1" s="1"/>
  <c r="AF26" i="1"/>
  <c r="AF29" i="1" s="1"/>
  <c r="AN26" i="1"/>
  <c r="AN29" i="1" s="1"/>
  <c r="AV26" i="1"/>
  <c r="AV29" i="1" s="1"/>
  <c r="BD26" i="1"/>
  <c r="BD29" i="1" s="1"/>
  <c r="BL26" i="1"/>
  <c r="BL29" i="1" s="1"/>
  <c r="BL33" i="1" s="1"/>
  <c r="BT26" i="1"/>
  <c r="BT29" i="1" s="1"/>
  <c r="CB26" i="1"/>
  <c r="CB29" i="1" s="1"/>
  <c r="CB33" i="1" s="1"/>
  <c r="CJ26" i="1"/>
  <c r="CJ29" i="1" s="1"/>
  <c r="CR26" i="1"/>
  <c r="CR29" i="1" s="1"/>
  <c r="CZ26" i="1"/>
  <c r="CZ29" i="1" s="1"/>
  <c r="DH26" i="1"/>
  <c r="DH29" i="1" s="1"/>
  <c r="DP26" i="1"/>
  <c r="DP29" i="1" s="1"/>
  <c r="DX26" i="1"/>
  <c r="DX29" i="1" s="1"/>
  <c r="EF26" i="1"/>
  <c r="EF29" i="1" s="1"/>
  <c r="EN26" i="1"/>
  <c r="EN29" i="1" s="1"/>
  <c r="G19" i="1"/>
  <c r="G17" i="1" s="1"/>
  <c r="AM31" i="1"/>
  <c r="DO31" i="1"/>
  <c r="AS33" i="1"/>
  <c r="Z62" i="1"/>
  <c r="DW33" i="1"/>
  <c r="DW31" i="1"/>
  <c r="EM31" i="1"/>
  <c r="EM33" i="1"/>
  <c r="P25" i="1"/>
  <c r="P26" i="1" s="1"/>
  <c r="P29" i="1" s="1"/>
  <c r="BI33" i="1"/>
  <c r="BI31" i="1"/>
  <c r="BU33" i="1"/>
  <c r="BU31" i="1"/>
  <c r="O25" i="1"/>
  <c r="O26" i="1" s="1"/>
  <c r="O29" i="1" s="1"/>
  <c r="W25" i="1"/>
  <c r="DY33" i="1"/>
  <c r="DY31" i="1"/>
  <c r="L31" i="1"/>
  <c r="BX31" i="1"/>
  <c r="BS62" i="1"/>
  <c r="BS60" i="1"/>
  <c r="DF33" i="1"/>
  <c r="DF31" i="1"/>
  <c r="BN33" i="1"/>
  <c r="BN31" i="1"/>
  <c r="CD33" i="1"/>
  <c r="CD31" i="1"/>
  <c r="CP33" i="1"/>
  <c r="CP31" i="1"/>
  <c r="CX31" i="1"/>
  <c r="CX33" i="1"/>
  <c r="G30" i="1"/>
  <c r="AL60" i="1"/>
  <c r="AL62" i="1"/>
  <c r="BZ60" i="1"/>
  <c r="BZ62" i="1"/>
  <c r="CX60" i="1"/>
  <c r="CX62" i="1"/>
  <c r="EL60" i="1"/>
  <c r="EL62" i="1"/>
  <c r="BR60" i="1"/>
  <c r="BR62" i="1"/>
  <c r="AH62" i="1"/>
  <c r="I17" i="1"/>
  <c r="I26" i="1" s="1"/>
  <c r="I29" i="1" s="1"/>
  <c r="AA26" i="1"/>
  <c r="AA29" i="1" s="1"/>
  <c r="BO26" i="1"/>
  <c r="BO29" i="1" s="1"/>
  <c r="BW26" i="1"/>
  <c r="BW29" i="1" s="1"/>
  <c r="CM26" i="1"/>
  <c r="CM29" i="1" s="1"/>
  <c r="DK26" i="1"/>
  <c r="DK29" i="1" s="1"/>
  <c r="DK33" i="1" s="1"/>
  <c r="EQ26" i="1"/>
  <c r="EQ29" i="1" s="1"/>
  <c r="AM62" i="1"/>
  <c r="AM60" i="1"/>
  <c r="CA62" i="1"/>
  <c r="CA60" i="1"/>
  <c r="CY62" i="1"/>
  <c r="CY60" i="1"/>
  <c r="DW60" i="1"/>
  <c r="DW62" i="1"/>
  <c r="EM62" i="1"/>
  <c r="EM60" i="1"/>
  <c r="DF60" i="1"/>
  <c r="DF62" i="1"/>
  <c r="AE62" i="1"/>
  <c r="AE60" i="1"/>
  <c r="CQ60" i="1"/>
  <c r="CQ62" i="1"/>
  <c r="G28" i="1"/>
  <c r="BJ60" i="1"/>
  <c r="J58" i="1"/>
  <c r="T62" i="1"/>
  <c r="T60" i="1"/>
  <c r="BB62" i="1"/>
  <c r="BB60" i="1"/>
  <c r="CH60" i="1"/>
  <c r="CH62" i="1"/>
  <c r="CP60" i="1"/>
  <c r="CP62" i="1"/>
  <c r="DN62" i="1"/>
  <c r="DN60" i="1"/>
  <c r="DV62" i="1"/>
  <c r="DV60" i="1"/>
  <c r="K60" i="1"/>
  <c r="K62" i="1"/>
  <c r="BC60" i="1"/>
  <c r="BC62" i="1"/>
  <c r="CI60" i="1"/>
  <c r="CI62" i="1"/>
  <c r="DO60" i="1"/>
  <c r="DO62" i="1"/>
  <c r="W60" i="1"/>
  <c r="AQ60" i="1"/>
  <c r="Q55" i="1"/>
  <c r="Q58" i="1" s="1"/>
  <c r="AR60" i="1"/>
  <c r="BW62" i="1"/>
  <c r="EI62" i="1"/>
  <c r="R58" i="1"/>
  <c r="AZ62" i="1"/>
  <c r="AZ60" i="1"/>
  <c r="BH62" i="1"/>
  <c r="BH60" i="1"/>
  <c r="BP62" i="1"/>
  <c r="BP60" i="1"/>
  <c r="BX62" i="1"/>
  <c r="BX60" i="1"/>
  <c r="CF60" i="1"/>
  <c r="CF62" i="1"/>
  <c r="CN60" i="1"/>
  <c r="CN62" i="1"/>
  <c r="DL62" i="1"/>
  <c r="DL60" i="1"/>
  <c r="DT62" i="1"/>
  <c r="DT60" i="1"/>
  <c r="EJ62" i="1"/>
  <c r="EJ60" i="1"/>
  <c r="BA60" i="1"/>
  <c r="DU60" i="1"/>
  <c r="I55" i="1"/>
  <c r="I58" i="1" s="1"/>
  <c r="AK62" i="1"/>
  <c r="AK60" i="1"/>
  <c r="AS62" i="1"/>
  <c r="AS60" i="1"/>
  <c r="BQ62" i="1"/>
  <c r="BQ60" i="1"/>
  <c r="BY62" i="1"/>
  <c r="BY60" i="1"/>
  <c r="CG62" i="1"/>
  <c r="CG60" i="1"/>
  <c r="CO62" i="1"/>
  <c r="CO60" i="1"/>
  <c r="CW62" i="1"/>
  <c r="CW60" i="1"/>
  <c r="DE62" i="1"/>
  <c r="DE60" i="1"/>
  <c r="EC62" i="1"/>
  <c r="EC60" i="1"/>
  <c r="EK62" i="1"/>
  <c r="EK60" i="1"/>
  <c r="N46" i="1"/>
  <c r="N55" i="1" s="1"/>
  <c r="N58" i="1" s="1"/>
  <c r="V46" i="1"/>
  <c r="V55" i="1" s="1"/>
  <c r="V58" i="1" s="1"/>
  <c r="G56" i="1"/>
  <c r="S62" i="1"/>
  <c r="AY62" i="1"/>
  <c r="CE62" i="1"/>
  <c r="EQ62" i="1"/>
  <c r="P31" i="1" l="1"/>
  <c r="P33" i="1"/>
  <c r="CZ33" i="1"/>
  <c r="CZ31" i="1"/>
  <c r="V60" i="1"/>
  <c r="V62" i="1"/>
  <c r="DP33" i="1"/>
  <c r="DP31" i="1"/>
  <c r="BD33" i="1"/>
  <c r="BD31" i="1"/>
  <c r="BG33" i="1"/>
  <c r="BG31" i="1"/>
  <c r="N60" i="1"/>
  <c r="N62" i="1"/>
  <c r="EQ33" i="1"/>
  <c r="EQ31" i="1"/>
  <c r="DH33" i="1"/>
  <c r="DH31" i="1"/>
  <c r="AV31" i="1"/>
  <c r="AV33" i="1"/>
  <c r="AN33" i="1"/>
  <c r="AN31" i="1"/>
  <c r="V33" i="1"/>
  <c r="V31" i="1"/>
  <c r="R60" i="1"/>
  <c r="R62" i="1"/>
  <c r="CM33" i="1"/>
  <c r="CM31" i="1"/>
  <c r="CR33" i="1"/>
  <c r="CR31" i="1"/>
  <c r="AF31" i="1"/>
  <c r="AF33" i="1"/>
  <c r="N33" i="1"/>
  <c r="N31" i="1"/>
  <c r="M33" i="1"/>
  <c r="M31" i="1"/>
  <c r="BW33" i="1"/>
  <c r="BW31" i="1"/>
  <c r="CJ33" i="1"/>
  <c r="CJ31" i="1"/>
  <c r="M62" i="1"/>
  <c r="M60" i="1"/>
  <c r="T31" i="1"/>
  <c r="T33" i="1"/>
  <c r="K33" i="1"/>
  <c r="K31" i="1"/>
  <c r="BO33" i="1"/>
  <c r="BO31" i="1"/>
  <c r="O31" i="1"/>
  <c r="O33" i="1"/>
  <c r="EN33" i="1"/>
  <c r="EN31" i="1"/>
  <c r="U33" i="1"/>
  <c r="U31" i="1"/>
  <c r="W31" i="1"/>
  <c r="W33" i="1"/>
  <c r="I60" i="1"/>
  <c r="I62" i="1"/>
  <c r="J60" i="1"/>
  <c r="J62" i="1"/>
  <c r="AA33" i="1"/>
  <c r="AA31" i="1"/>
  <c r="EF33" i="1"/>
  <c r="EF31" i="1"/>
  <c r="BT33" i="1"/>
  <c r="BT31" i="1"/>
  <c r="Q60" i="1"/>
  <c r="Q62" i="1"/>
  <c r="I33" i="1"/>
  <c r="I31" i="1"/>
  <c r="DX33" i="1"/>
  <c r="DX31" i="1"/>
  <c r="G25" i="1"/>
  <c r="G26" i="1" s="1"/>
  <c r="G29" i="1" s="1"/>
  <c r="G31" i="1" s="1"/>
</calcChain>
</file>

<file path=xl/sharedStrings.xml><?xml version="1.0" encoding="utf-8"?>
<sst xmlns="http://schemas.openxmlformats.org/spreadsheetml/2006/main" count="602" uniqueCount="87">
  <si>
    <t>Ūkio subjektas: UAB Komunalinių paslaugų centras</t>
  </si>
  <si>
    <t>Ataskaitinis laikotarpis: 2025-01-01 - 2026-01-01</t>
  </si>
  <si>
    <t>Konsoliduota pelno (nuostolių) ataskaita (eurais)</t>
  </si>
  <si>
    <t>Šilumos sektoriaus įmonių apskaitos atskyrimo ir sąnaudų paskirstymo reikalavimų aprašo 1 priedas</t>
  </si>
  <si>
    <t>STRAIPSNIAI</t>
  </si>
  <si>
    <t>Per ataskaitinį laikotarpį 
IŠ VISO</t>
  </si>
  <si>
    <t>IŠ VISO</t>
  </si>
  <si>
    <r>
      <t>Nepriskirta</t>
    </r>
    <r>
      <rPr>
        <sz val="10"/>
        <rFont val="Calibri"/>
      </rPr>
      <t>¹</t>
    </r>
  </si>
  <si>
    <t>Pastabos</t>
  </si>
  <si>
    <r>
      <t>Šilumos gamybos (įskaitant perkamą šilumą)</t>
    </r>
    <r>
      <rPr>
        <b/>
        <sz val="10"/>
        <rFont val="Times New Roman"/>
        <family val="1"/>
      </rPr>
      <t xml:space="preserve"> </t>
    </r>
    <r>
      <rPr>
        <sz val="10"/>
        <rFont val="Times New Roman"/>
        <family val="1"/>
      </rPr>
      <t>verslo vienetas</t>
    </r>
  </si>
  <si>
    <t>Šilumos perdavimo verslo vienetas</t>
  </si>
  <si>
    <r>
      <t>Mažmeninio aptarnavimo</t>
    </r>
    <r>
      <rPr>
        <b/>
        <sz val="10"/>
        <rFont val="Times New Roman"/>
        <family val="1"/>
      </rPr>
      <t xml:space="preserve"> </t>
    </r>
    <r>
      <rPr>
        <sz val="10"/>
        <rFont val="Times New Roman"/>
        <family val="1"/>
      </rPr>
      <t>(šilumos pardavimo) verslo vienetas</t>
    </r>
  </si>
  <si>
    <t>Karšto vandens tiekimo verslo vienetas</t>
  </si>
  <si>
    <t>Neatsiskaitomųjų šilumos apskaitos prietaisų aptarnavimo  verslo vienetas</t>
  </si>
  <si>
    <t>Pastatų šildymo ir karšto vandens sistemų priežiūros verslo vienetas</t>
  </si>
  <si>
    <t>Prekybos apyvartiniais taršos leidimais ir su ja susijusios veiklos verslo vienetas</t>
  </si>
  <si>
    <t>Kitos reguliuojamosios veiklos verslo vienetas</t>
  </si>
  <si>
    <t>Nereguliuojamosios veiklos verslo vienetas</t>
  </si>
  <si>
    <t>Šilumos gamybos (įskaitant perkamą šilumą) verslo vienetas</t>
  </si>
  <si>
    <t>Mažmeninio aptarnavimo (šilumos pardavimo) verslo vienetas</t>
  </si>
  <si>
    <t>Šilumos (produkto) gamyba</t>
  </si>
  <si>
    <t>Šilumos poreikio piko pajėgumų ir rezervinės galios užtikrinimas</t>
  </si>
  <si>
    <t>Šilumos perdavimas centralizuoto šilumos tiekimo sistemos tinklais</t>
  </si>
  <si>
    <t xml:space="preserve">Balansavimas centralizuoto šilumos tiekimo sistemoje </t>
  </si>
  <si>
    <t xml:space="preserve">Karšto vandens tiekimas (ruošimas ir vartotojų mažmeninis aptarnavimas) </t>
  </si>
  <si>
    <t xml:space="preserve">Karšto vandens temperatūros palaikymas
</t>
  </si>
  <si>
    <t>Karšto vandens apskaitos prietaisų aptarnavimas</t>
  </si>
  <si>
    <t xml:space="preserve">Pastatų šildymo ir karšto vandens sistemų einamoji priežiūra) </t>
  </si>
  <si>
    <t>Pastatų šildymo ir karšto vandens sistemų rekonstrukcija</t>
  </si>
  <si>
    <t>Elektros energijos (produkto) gamyba</t>
  </si>
  <si>
    <t>Geriamojo vadens tiekimas ir nutekų tvarkymas</t>
  </si>
  <si>
    <t>Konkurencinė šilumos gamybos veikla</t>
  </si>
  <si>
    <t xml:space="preserve">Pajamos </t>
  </si>
  <si>
    <t>-</t>
  </si>
  <si>
    <t>(1)=(1.1)+(1.2)+(1.3)+(1.4)</t>
  </si>
  <si>
    <t>iš jų: kogeneracinių jėgainių pajamos</t>
  </si>
  <si>
    <r>
      <t>Reguliuojamos veiklos pajamos</t>
    </r>
    <r>
      <rPr>
        <b/>
        <i/>
        <vertAlign val="superscript"/>
        <sz val="10"/>
        <rFont val="Times New Roman"/>
        <family val="1"/>
      </rPr>
      <t>1</t>
    </r>
  </si>
  <si>
    <t>(1.1)</t>
  </si>
  <si>
    <r>
      <t xml:space="preserve">iš jų: pajamos gautos už iš nepriklausomų šilumos gamintojų šilumos  įsigytą šilumos kiekį ir  aukcione dėl pajėgumų nustatymo  iš NŠG įsigytus pajėgumus </t>
    </r>
    <r>
      <rPr>
        <b/>
        <vertAlign val="superscript"/>
        <sz val="10"/>
        <rFont val="Times New Roman"/>
        <family val="1"/>
      </rPr>
      <t>2</t>
    </r>
  </si>
  <si>
    <r>
      <t>iš jų: pajamos gautos už iš atliekinę šilumą generuojančių asmenų  įsigytą atliekinės šilumos kiekį</t>
    </r>
    <r>
      <rPr>
        <b/>
        <vertAlign val="superscript"/>
        <sz val="10"/>
        <rFont val="Times New Roman"/>
        <family val="1"/>
      </rPr>
      <t>3</t>
    </r>
  </si>
  <si>
    <t>Pajamos iš reguliuojamoje veikloje naudojamo turto nuomos</t>
  </si>
  <si>
    <t>(1.2)</t>
  </si>
  <si>
    <t>Kitos pajamos (dujų ir elektros balansavimo ir kitos pajamos)</t>
  </si>
  <si>
    <t>(1.3)</t>
  </si>
  <si>
    <r>
      <t>Verslo vienetų pajamų koregavimas (+/-)</t>
    </r>
    <r>
      <rPr>
        <b/>
        <i/>
        <sz val="12"/>
        <rFont val="Times New Roman"/>
        <family val="1"/>
      </rPr>
      <t>²</t>
    </r>
  </si>
  <si>
    <t>(1.4.)</t>
  </si>
  <si>
    <r>
      <t>Sąnaudos (iš 12 priedo ((Nepriskirta</t>
    </r>
    <r>
      <rPr>
        <b/>
        <vertAlign val="superscript"/>
        <sz val="10"/>
        <rFont val="Times New Roman"/>
        <family val="1"/>
      </rPr>
      <t>3</t>
    </r>
    <r>
      <rPr>
        <sz val="10"/>
        <rFont val="Times New Roman"/>
        <family val="1"/>
      </rPr>
      <t>) iš 5 priedo))</t>
    </r>
  </si>
  <si>
    <t>(2)</t>
  </si>
  <si>
    <t>Rezultatas</t>
  </si>
  <si>
    <t>(3)=(1)-(2)</t>
  </si>
  <si>
    <r>
      <t>Koregavimas dėl papildomos šilumos pajamų lygio dalies</t>
    </r>
    <r>
      <rPr>
        <vertAlign val="superscript"/>
        <sz val="10"/>
        <rFont val="Times New Roman"/>
        <family val="1"/>
      </rPr>
      <t xml:space="preserve">6 </t>
    </r>
    <r>
      <rPr>
        <sz val="10"/>
        <rFont val="Times New Roman"/>
        <family val="1"/>
      </rPr>
      <t>(ataskaitinis laikotarpis)</t>
    </r>
  </si>
  <si>
    <t>(4)</t>
  </si>
  <si>
    <r>
      <t>Koregavimas dėl papildomos šilumos pajamų lygio dalies</t>
    </r>
    <r>
      <rPr>
        <vertAlign val="superscript"/>
        <sz val="10"/>
        <rFont val="Times New Roman"/>
        <family val="1"/>
      </rPr>
      <t>6</t>
    </r>
    <r>
      <rPr>
        <sz val="10"/>
        <rFont val="Times New Roman"/>
        <family val="1"/>
      </rPr>
      <t xml:space="preserve"> (praėję laikotarpiai)</t>
    </r>
  </si>
  <si>
    <t>(5)</t>
  </si>
  <si>
    <t>Rezultatas (koreguotas)</t>
  </si>
  <si>
    <t>(6)=(3)-(4)-(5)</t>
  </si>
  <si>
    <r>
      <t>Investicijų grąža</t>
    </r>
    <r>
      <rPr>
        <b/>
        <vertAlign val="superscript"/>
        <sz val="10"/>
        <rFont val="Times New Roman"/>
        <family val="1"/>
      </rPr>
      <t>5</t>
    </r>
  </si>
  <si>
    <t>(7)</t>
  </si>
  <si>
    <t>Skirtumas</t>
  </si>
  <si>
    <t>(8)=(6)-(7)</t>
  </si>
  <si>
    <r>
      <t>Verslo vieneto reguliuojamo turto vertė, Eur</t>
    </r>
    <r>
      <rPr>
        <b/>
        <vertAlign val="superscript"/>
        <sz val="10"/>
        <rFont val="Times New Roman"/>
        <family val="1"/>
      </rPr>
      <t>6</t>
    </r>
  </si>
  <si>
    <t>(9)</t>
  </si>
  <si>
    <t>Faktinė verslo vieneto veikloje naudojamo kapitalo investicijų grąža, %</t>
  </si>
  <si>
    <t>(10)=(6)/(9)</t>
  </si>
  <si>
    <t xml:space="preserve">Praėjęs ataskaitinis laikotarpis </t>
  </si>
  <si>
    <t>CŠT sistema 1</t>
  </si>
  <si>
    <t>CŠT sistema 2</t>
  </si>
  <si>
    <t>CŠT sistema 3</t>
  </si>
  <si>
    <t>CŠT sistema 4</t>
  </si>
  <si>
    <t>CŠT sistema 5</t>
  </si>
  <si>
    <t>CŠT sistema 6</t>
  </si>
  <si>
    <t>CŠT sistema 7</t>
  </si>
  <si>
    <t xml:space="preserve">... paslauga (produktas) </t>
  </si>
  <si>
    <t>Elektros energijos gamyba</t>
  </si>
  <si>
    <t>Geriamojo vandens tiekimas ir nuotekų tvarkymas</t>
  </si>
  <si>
    <t>(1.4)</t>
  </si>
  <si>
    <t>Pastabos:</t>
  </si>
  <si>
    <t>1. Reguliuojamos veiklos pajamos (1.1. eilutė) apskaičiuojamos realizuotą kiekį padauginus iš kainos.</t>
  </si>
  <si>
    <t xml:space="preserve">2. Nurodomos už iš nepriklausomų šilumos gamintojų (toliau – NŠG) įsigytą šilumos kiekį ir aukcione dėl pajėgumų nustatymo  iš NŠG įsigytų pajėgumų gautos pajamos (tik jei dalyvaujama aukcione dėl pajėgumų nustatymo). Kiekvieno mėnesio  atitinkamoje sistemoje  už iš  NŠG įsigytos šilumos kiekio    ir  iš NŠG įsigytų pajėgumų pajamos  gaunamos  iš NŠG įsigyto šilumos kiekio ir  iš NŠG įsigytų pajėgumų sąnaudas padalinus iš patiekto į tinklą kiekio (šilumos kainos dalis) ir padauginus iš realizuoto šilumos kiekio. Visos ataskaitinio laikotarpio metinės pajamos gaunamos sudedant kiekevieno mėnesio pajamas. </t>
  </si>
  <si>
    <t xml:space="preserve">3. Kiekvieno mėnesio pajamos atitinkamoje sistemoje  už iš atliekinę šilumą generuojančių asmenų  įsigytą altiekinės šilumos kiekį  gaunamos  atliekinės šilumos įsigijimo sąnaudas padalinus iš patiektą į tinklą kiekio (šilumos kainos dalis) ir padauginus iš realizuoto šilumos kiekio. Visos ataskaitinio laikotarpio metinės pajamos gaunamos sudedant kiekevieno mėnesio pajamas. </t>
  </si>
  <si>
    <r>
      <t xml:space="preserve">4. Šilumos gamybos ir šilumos perdavimo verslo vienetų pajamos koreguojamos atsižvelgiant į faktinį papildomą šilumos kiekį ataskaitiniu laikotarpiu. Koreguojanti suma apskaičiuojama sudedant kiekvieno ataskaitinio laikotarpio mėnesio faktinį realizuotos šilumos kiekį, padaugintą iš atitinkamo mėnesio šilumos perdavimo vienanarės kainos kintamojoje dedamojoje (T HT,KD), apskaičiuotoje Metodikos  57.3.2 papunktyje nustatyta tvarka, įskaičiuotos papildomo šilumos kiekio kainos dalies. Šis pajamų dydis rodomas su (-) „Šilumos perdavimas centralizuoto šilumos tiekimo sistemos tinklais“ stulpelyje, o su (+) „Šilumos (produkto) gamyba” stulpelyje. </t>
    </r>
    <r>
      <rPr>
        <b/>
        <sz val="10"/>
        <rFont val="Times New Roman"/>
        <family val="1"/>
      </rPr>
      <t xml:space="preserve">Centrtalizuoto šilumos tiekimo sistemose, kuriose veikia NŠG, šilumos gamybos ir šilumos perdavimo verslo vienetų pajamos koreguojamos taikant atskiras papildomo šilumos kiekio kainos dalis išskaidytas pagal šilumos gamybos kainoje  vertinamas sąnaudas: už įsigytos iš NŠG šilumos aukcione  kiekį (iš NŠG šilumos įsigijimo sąnaudos padalinamos iš patiekto į tinklą kiekio), už įsigytą atliekinės šilumos kiekį (atliekinės šilumos įsigijimo sąnaudos padalinamos iš patiektą į tinklą kiekio) ir šilumos tiekėjo komerciniais įrenginiais pagamintą ir aukcione parduotą šilumos kiekį (šilumos tiekėjo komerciniais šilumos gamybos įrenginiais pagamintos ir aukcione parduotos šilumos gamybos sąnaudos padalinamos iš patiekto į tinklą šilumos kiekio). </t>
    </r>
  </si>
  <si>
    <t>5. Sąnaudos, kurias patiria ūkio subjektas ataskaitiniu laikotarpiu, tačiau kurios nebūtinos nei galutinėms paslaugoms (produktams) teikti (reguliuojamų kainų paslaugų (produktų) vertei kurti), nei verslui palaikyti (užtikrinti reguliuojamosios veiklos nepertraukiamumą, saugumą, stabilumą). Šias sąnaudas Ūkio subjektas patiria savo investicijų grąžos sąskaita (pagal Aprašo 41 punktą). Pildoma pagal Aprašo 5 priede nurodytą informaciją.</t>
  </si>
  <si>
    <r>
      <t xml:space="preserve">6. Kiti koregavimai dėl Metodikos 100–101 punktuose nurodytų priežasčių. Susidariusios nepadengtos ataskaitinio laikotarpio sąnaudos turi būti nurodomos su minuso ženklu (-), o papildomai gautos pajamos – su pliuso ženklu (+), praėjusių laikotarpių sąnaudos turi būti nurodomos su pliuso ženklu (+), o papildomai gautos pajamos – su minuso ženklu (-). </t>
    </r>
    <r>
      <rPr>
        <b/>
        <sz val="10"/>
        <rFont val="Times New Roman"/>
        <family val="1"/>
      </rPr>
      <t>Nepadengtos ataskaitinio laikotarpio sąnaudos ir papildomai gautos  pajamos dėl šilumos kainoje įskaitytų ir faktiškai patirtų sąnaudų kurui, šilumai, elektros energijai technologinėms reikmėms įsigyti, mokestiniams įsipareigojimams padengti skaičiuojamos tol, kol tiekėjas taiko šilumos kainų dedamąsias. t.y. iki pajamų lygio taikymo pradžios.</t>
    </r>
  </si>
  <si>
    <t xml:space="preserve">7. Ataskaitiniu laikotarpiuTarybos nutarimu, savivaldybės tarybos ar ūkio subjekto sprendimu nustatytame šilumos gamybos ir (ar) tiekimo pajamų lygyje įvertinta investicijų grąža per metus. Kai ataskaitiniu laikotarpiu galiojo skirtingi šilumos gamybos ir (ar) tiekimo pajamų lygiai, investicijų grąža apskaičiuojama į atitinkamą šilumos gamybos ir (ar) tiekimo pajamų lygį įskaičiuotą investicijų grąžą, dalinant iš 12 mėnesių ir dauginant iš mėnesių, kuriais galiojo atitinkamas šilumos gamybos ir (ar) tiekimo pajamų lygis, skaičiaus, ir gautos sumos sudedamos. </t>
  </si>
  <si>
    <t xml:space="preserve">8. Šilumos gamybos (įskaitant perkamą šilumą) ir šilumos perdavimo verslo vienetuose, kai ataskaitiniu laikotarpiu galiojo skirtingi šilumos gamybos ir (ar) tiekimo pajamų lygiai, reguliuojamo turto likutinė vertė apskaičiuojama: į atitinkamus šilumosgamybos ir (ar) tiekimo pajamų lygius įskaičiuotos turto likutinės vertės dalinamos iš 12 mėnesių ir dauginamos iš mėnesių, kuriais galiojo atitinkami šilumos gamybos ir (ar) tiekimo pajamų lygiai, skaičiaus, ir gautos sumos sudedamos. Mažmeninio aptarnavimo (šilumos pardavimo) verslo vienete: į atitinkamus šilumos gamybos ir (ar) tiekimo pajamų lygius įskaičiuotos būtinosios sąnaudos dalinamos iš 12 mėnesių ir dauginamos iš mėnesių, kuriais galiojo atitinkami šilumos gamybos ir (ar) tiekimo pajamų lygiai, skaičiaus, ir gautos sumos sudedamos. Karšto vandens tiekimo (ruošimas ir vartotojų mažmeninis aptarnavimas) paslaugoje - į atitinkamas karšto vandens kainas įskaičiuotos pastoviosios būtinosios sąnaudos dalinamos iš 12 mėnesių ir dauginamos iš mėnesių, kuriais galiojo atitinkamos karšto vandens kainų dedamosios, skaičiaus, ir gautos sumos sudedamos. Kituose verslo vienetuose - ilgalaikio turto likutinę vertę (pagal 2 priedą). </t>
  </si>
  <si>
    <t>9. Papildomai nurodoma tiek centralizuoto šilumos tiekimo (CŠT) sistemų, pagal kiek ūkio subjektas vykdo reguliavimo apskaitos atskyrimą ir sąnaudų paskirstymą.</t>
  </si>
  <si>
    <t>Pastaba. Ūkio subjektai, kol jiems nėra nustatytas pajamų lygis, atlikdami koregavimus vadovaujasi Valstybinės energetikos reguliavimo tarybos 2009 m. liepos 8 d. nutarimo Nr. O3-96 „Dėl Šilumos kainų nustatymo metodikos“ suvestinės redakcijos, galiojusios iki 2023 m. rugsėjo 30 d.,  73–74, 76–77 punktais ir 56.1.2 papunkčiu.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</si>
</sst>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11"/>
      <color theme="1"/>
      <name val="Calibri"/>
      <charset val="186"/>
      <scheme val="minor"/>
    </font>
    <font>
      <sz val="10"/>
      <name val="Times New Roman"/>
      <family val="1"/>
    </font>
    <font>
      <b/>
      <sz val="10"/>
      <name val="Times New Roman"/>
      <family val="1"/>
    </font>
    <font>
      <b/>
      <sz val="12"/>
      <name val="Times New Roman"/>
      <family val="1"/>
    </font>
    <font>
      <sz val="10"/>
      <name val="Calibri"/>
    </font>
    <font>
      <sz val="11"/>
      <name val="Times New Roman"/>
      <family val="1"/>
      <charset val="186"/>
    </font>
    <font>
      <sz val="8"/>
      <color theme="1"/>
      <name val="Times New Roman"/>
      <family val="1"/>
    </font>
    <font>
      <i/>
      <sz val="10"/>
      <name val="Times New Roman"/>
      <family val="1"/>
    </font>
    <font>
      <b/>
      <i/>
      <vertAlign val="superscript"/>
      <sz val="10"/>
      <name val="Times New Roman"/>
      <family val="1"/>
    </font>
    <font>
      <b/>
      <vertAlign val="superscript"/>
      <sz val="10"/>
      <name val="Times New Roman"/>
      <family val="1"/>
    </font>
    <font>
      <b/>
      <i/>
      <sz val="12"/>
      <name val="Times New Roman"/>
      <family val="1"/>
    </font>
    <font>
      <vertAlign val="superscript"/>
      <sz val="10"/>
      <name val="Times New Roman"/>
      <family val="1"/>
    </font>
    <font>
      <sz val="11"/>
      <name val="Calibri"/>
      <charset val="186"/>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9D9D9"/>
        <bgColor indexed="64"/>
      </patternFill>
    </fill>
    <fill>
      <patternFill patternType="solid">
        <fgColor theme="0" tint="-0.14996795556505021"/>
        <bgColor indexed="64"/>
      </patternFill>
    </fill>
    <fill>
      <patternFill patternType="solid">
        <fgColor theme="0" tint="-0.14993743705557422"/>
        <bgColor indexed="64"/>
      </patternFill>
    </fill>
    <fill>
      <patternFill patternType="solid">
        <fgColor rgb="FF92D050"/>
        <bgColor indexed="64"/>
      </patternFill>
    </fill>
    <fill>
      <patternFill patternType="solid">
        <fgColor rgb="FF00B050"/>
        <bgColor indexed="64"/>
      </patternFill>
    </fill>
  </fills>
  <borders count="78">
    <border>
      <left/>
      <right/>
      <top/>
      <bottom/>
      <diagonal/>
    </border>
    <border>
      <left style="medium">
        <color rgb="FFFFFFFF"/>
      </left>
      <right style="medium">
        <color rgb="FFFFFFFF"/>
      </right>
      <top style="medium">
        <color rgb="FFFFFFFF"/>
      </top>
      <bottom style="medium">
        <color rgb="FFFFFFFF"/>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0" fontId="2" fillId="0" borderId="0"/>
    <xf numFmtId="0" fontId="7" fillId="0" borderId="0"/>
  </cellStyleXfs>
  <cellXfs count="291">
    <xf numFmtId="0" fontId="0" fillId="0" borderId="0" xfId="0"/>
    <xf numFmtId="0" fontId="3" fillId="2" borderId="1" xfId="2" applyFont="1" applyFill="1" applyBorder="1" applyAlignment="1">
      <alignment horizontal="left"/>
    </xf>
    <xf numFmtId="0" fontId="3" fillId="2" borderId="1" xfId="2" applyFont="1" applyFill="1" applyBorder="1"/>
    <xf numFmtId="0" fontId="3" fillId="2" borderId="0" xfId="2" applyFont="1" applyFill="1"/>
    <xf numFmtId="0" fontId="4" fillId="2" borderId="1" xfId="2" applyFont="1" applyFill="1" applyBorder="1" applyAlignment="1">
      <alignment horizontal="left"/>
    </xf>
    <xf numFmtId="0" fontId="5" fillId="3" borderId="0" xfId="2" applyFont="1" applyFill="1" applyAlignment="1">
      <alignment horizontal="left" vertical="center" wrapText="1"/>
    </xf>
    <xf numFmtId="0" fontId="5" fillId="3" borderId="0" xfId="2" applyFont="1" applyFill="1" applyAlignment="1">
      <alignment horizontal="left" vertical="center" wrapText="1"/>
    </xf>
    <xf numFmtId="0" fontId="3" fillId="2" borderId="0" xfId="2" applyFont="1" applyFill="1" applyAlignment="1">
      <alignment horizontal="left" vertical="center"/>
    </xf>
    <xf numFmtId="0" fontId="3" fillId="2" borderId="2" xfId="2" applyFont="1" applyFill="1" applyBorder="1" applyAlignment="1">
      <alignment horizontal="left" vertical="center" wrapText="1"/>
    </xf>
    <xf numFmtId="0" fontId="4" fillId="4" borderId="3" xfId="2" applyFont="1" applyFill="1" applyBorder="1" applyAlignment="1">
      <alignment horizontal="center" vertical="center"/>
    </xf>
    <xf numFmtId="0" fontId="4" fillId="4" borderId="4" xfId="2" applyFont="1" applyFill="1" applyBorder="1" applyAlignment="1">
      <alignment horizontal="center" vertical="center"/>
    </xf>
    <xf numFmtId="0" fontId="4" fillId="4" borderId="3" xfId="2" applyFont="1" applyFill="1" applyBorder="1" applyAlignment="1">
      <alignment horizontal="center" vertical="center" wrapText="1"/>
    </xf>
    <xf numFmtId="0" fontId="4" fillId="4" borderId="5" xfId="2" applyFont="1" applyFill="1" applyBorder="1" applyAlignment="1">
      <alignment horizontal="center" vertical="center" wrapText="1"/>
    </xf>
    <xf numFmtId="0" fontId="3" fillId="5" borderId="6" xfId="2" applyFont="1" applyFill="1" applyBorder="1" applyAlignment="1">
      <alignment horizontal="center" vertical="center" wrapText="1"/>
    </xf>
    <xf numFmtId="0" fontId="3" fillId="5" borderId="7" xfId="2" applyFont="1" applyFill="1" applyBorder="1" applyAlignment="1">
      <alignment horizontal="center" vertical="center" wrapText="1"/>
    </xf>
    <xf numFmtId="0" fontId="3" fillId="5" borderId="8" xfId="2" applyFont="1" applyFill="1" applyBorder="1" applyAlignment="1">
      <alignment horizontal="center" vertical="center" wrapText="1"/>
    </xf>
    <xf numFmtId="0" fontId="3" fillId="5" borderId="5" xfId="2" applyFont="1" applyFill="1" applyBorder="1" applyAlignment="1">
      <alignment horizontal="center" vertical="center"/>
    </xf>
    <xf numFmtId="0" fontId="4" fillId="5" borderId="9" xfId="2" applyFont="1" applyFill="1" applyBorder="1" applyAlignment="1">
      <alignment horizontal="center" vertical="center"/>
    </xf>
    <xf numFmtId="0" fontId="4" fillId="4" borderId="10" xfId="2" applyFont="1" applyFill="1" applyBorder="1" applyAlignment="1">
      <alignment horizontal="center" vertical="center"/>
    </xf>
    <xf numFmtId="0" fontId="4" fillId="4" borderId="0" xfId="2" applyFont="1" applyFill="1" applyAlignment="1">
      <alignment horizontal="center" vertical="center"/>
    </xf>
    <xf numFmtId="0" fontId="4" fillId="4" borderId="10" xfId="2" applyFont="1" applyFill="1" applyBorder="1" applyAlignment="1">
      <alignment horizontal="center" vertical="center" wrapText="1"/>
    </xf>
    <xf numFmtId="0" fontId="4" fillId="4" borderId="11" xfId="2" applyFont="1" applyFill="1" applyBorder="1" applyAlignment="1">
      <alignment horizontal="center" vertical="center" wrapText="1"/>
    </xf>
    <xf numFmtId="0" fontId="3" fillId="5" borderId="10" xfId="2" applyFont="1" applyFill="1" applyBorder="1" applyAlignment="1">
      <alignment horizontal="center" vertical="center" wrapText="1"/>
    </xf>
    <xf numFmtId="0" fontId="3" fillId="5" borderId="0" xfId="2" applyFont="1" applyFill="1" applyAlignment="1">
      <alignment horizontal="center" vertical="center" wrapText="1"/>
    </xf>
    <xf numFmtId="0" fontId="3" fillId="5" borderId="12" xfId="2" applyFont="1" applyFill="1" applyBorder="1" applyAlignment="1">
      <alignment horizontal="center" vertical="center" wrapText="1"/>
    </xf>
    <xf numFmtId="0" fontId="3" fillId="5" borderId="13" xfId="2" applyFont="1" applyFill="1" applyBorder="1" applyAlignment="1">
      <alignment horizontal="center" vertical="center" wrapText="1"/>
    </xf>
    <xf numFmtId="0" fontId="3" fillId="5" borderId="14" xfId="2" applyFont="1" applyFill="1" applyBorder="1" applyAlignment="1">
      <alignment horizontal="center" vertical="center" wrapText="1"/>
    </xf>
    <xf numFmtId="0" fontId="3" fillId="5" borderId="15" xfId="2" applyFont="1" applyFill="1" applyBorder="1" applyAlignment="1">
      <alignment horizontal="center" vertical="center" wrapText="1"/>
    </xf>
    <xf numFmtId="0" fontId="3" fillId="5" borderId="16" xfId="2" applyFont="1" applyFill="1" applyBorder="1" applyAlignment="1">
      <alignment horizontal="center" vertical="center" wrapText="1"/>
    </xf>
    <xf numFmtId="0" fontId="3" fillId="5" borderId="17" xfId="2" applyFont="1" applyFill="1" applyBorder="1" applyAlignment="1">
      <alignment horizontal="center" vertical="center" wrapText="1"/>
    </xf>
    <xf numFmtId="0" fontId="3" fillId="5" borderId="18" xfId="2" applyFont="1" applyFill="1" applyBorder="1" applyAlignment="1">
      <alignment horizontal="center" vertical="center" wrapText="1"/>
    </xf>
    <xf numFmtId="0" fontId="8" fillId="6" borderId="11" xfId="3" applyFont="1" applyFill="1" applyBorder="1" applyAlignment="1">
      <alignment horizontal="center" vertical="center" wrapText="1"/>
    </xf>
    <xf numFmtId="0" fontId="3" fillId="5" borderId="11" xfId="2" applyFont="1" applyFill="1" applyBorder="1" applyAlignment="1">
      <alignment horizontal="center" vertical="center"/>
    </xf>
    <xf numFmtId="0" fontId="4" fillId="5" borderId="19" xfId="2" applyFont="1" applyFill="1" applyBorder="1" applyAlignment="1">
      <alignment horizontal="center" vertical="center"/>
    </xf>
    <xf numFmtId="0" fontId="3" fillId="5" borderId="11" xfId="2"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3" fillId="2" borderId="0" xfId="2" applyFont="1" applyFill="1" applyAlignment="1">
      <alignment vertical="center"/>
    </xf>
    <xf numFmtId="0" fontId="3" fillId="5" borderId="20" xfId="2" applyFont="1" applyFill="1" applyBorder="1" applyAlignment="1">
      <alignment horizontal="center" vertical="center" wrapText="1"/>
    </xf>
    <xf numFmtId="0" fontId="3" fillId="5" borderId="21" xfId="2" applyFont="1" applyFill="1" applyBorder="1" applyAlignment="1">
      <alignment horizontal="center" vertical="center" wrapText="1"/>
    </xf>
    <xf numFmtId="0" fontId="3" fillId="5" borderId="22" xfId="2" applyFont="1" applyFill="1" applyBorder="1" applyAlignment="1">
      <alignment horizontal="center" vertical="center" wrapText="1"/>
    </xf>
    <xf numFmtId="0" fontId="3" fillId="5" borderId="23" xfId="2" applyFont="1" applyFill="1" applyBorder="1" applyAlignment="1">
      <alignment horizontal="center" vertical="center" wrapText="1"/>
    </xf>
    <xf numFmtId="0" fontId="3" fillId="5" borderId="24" xfId="2" applyFont="1" applyFill="1" applyBorder="1" applyAlignment="1">
      <alignment horizontal="center" vertical="center" wrapText="1"/>
    </xf>
    <xf numFmtId="0" fontId="3" fillId="5" borderId="25" xfId="2"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3" fillId="5" borderId="26" xfId="2" applyFont="1" applyFill="1" applyBorder="1" applyAlignment="1">
      <alignment horizontal="center" vertical="center" wrapText="1"/>
    </xf>
    <xf numFmtId="0" fontId="3" fillId="6" borderId="18" xfId="2" applyFont="1" applyFill="1" applyBorder="1" applyAlignment="1">
      <alignment horizontal="center" vertical="center" wrapText="1"/>
    </xf>
    <xf numFmtId="0" fontId="3" fillId="5" borderId="27" xfId="2" applyFont="1" applyFill="1" applyBorder="1" applyAlignment="1">
      <alignment horizontal="center" vertical="center" wrapText="1"/>
    </xf>
    <xf numFmtId="0" fontId="8" fillId="6" borderId="17" xfId="3" applyFont="1" applyFill="1" applyBorder="1" applyAlignment="1">
      <alignment horizontal="center" vertical="center" wrapText="1"/>
    </xf>
    <xf numFmtId="0" fontId="8" fillId="6" borderId="27" xfId="3" applyFont="1" applyFill="1" applyBorder="1" applyAlignment="1">
      <alignment horizontal="center" vertical="center" wrapText="1"/>
    </xf>
    <xf numFmtId="0" fontId="3" fillId="5" borderId="28" xfId="2" applyFont="1" applyFill="1" applyBorder="1" applyAlignment="1">
      <alignment horizontal="center" vertical="center" wrapText="1"/>
    </xf>
    <xf numFmtId="0" fontId="3" fillId="7" borderId="14" xfId="2" applyFont="1" applyFill="1" applyBorder="1" applyAlignment="1">
      <alignment horizontal="center" vertical="center" wrapText="1"/>
    </xf>
    <xf numFmtId="0" fontId="3" fillId="5" borderId="29" xfId="2" applyFont="1" applyFill="1" applyBorder="1" applyAlignment="1">
      <alignment horizontal="center" vertical="center" wrapText="1"/>
    </xf>
    <xf numFmtId="0" fontId="8" fillId="7" borderId="29" xfId="3" applyFont="1" applyFill="1" applyBorder="1" applyAlignment="1">
      <alignment horizontal="center" vertical="center" wrapText="1"/>
    </xf>
    <xf numFmtId="0" fontId="3" fillId="4" borderId="30" xfId="2" applyFont="1" applyFill="1" applyBorder="1" applyAlignment="1">
      <alignment horizontal="center"/>
    </xf>
    <xf numFmtId="0" fontId="3" fillId="5" borderId="31" xfId="2" applyFont="1" applyFill="1" applyBorder="1" applyAlignment="1">
      <alignment horizontal="left"/>
    </xf>
    <xf numFmtId="0" fontId="3" fillId="5" borderId="32" xfId="2" applyFont="1" applyFill="1" applyBorder="1" applyAlignment="1">
      <alignment horizontal="left"/>
    </xf>
    <xf numFmtId="3" fontId="3" fillId="6" borderId="33" xfId="2" applyNumberFormat="1" applyFont="1" applyFill="1" applyBorder="1" applyAlignment="1">
      <alignment horizontal="center"/>
    </xf>
    <xf numFmtId="3" fontId="3" fillId="8" borderId="34" xfId="2" applyNumberFormat="1" applyFont="1" applyFill="1" applyBorder="1" applyAlignment="1">
      <alignment horizontal="center"/>
    </xf>
    <xf numFmtId="3" fontId="3" fillId="6" borderId="33" xfId="2" applyNumberFormat="1" applyFont="1" applyFill="1" applyBorder="1" applyAlignment="1">
      <alignment horizontal="center"/>
    </xf>
    <xf numFmtId="3" fontId="3" fillId="6" borderId="31" xfId="2" applyNumberFormat="1" applyFont="1" applyFill="1" applyBorder="1" applyAlignment="1">
      <alignment horizontal="center"/>
    </xf>
    <xf numFmtId="3" fontId="3" fillId="6" borderId="34" xfId="2" applyNumberFormat="1" applyFont="1" applyFill="1" applyBorder="1" applyAlignment="1">
      <alignment horizontal="center"/>
    </xf>
    <xf numFmtId="3" fontId="3" fillId="5" borderId="8" xfId="2" applyNumberFormat="1" applyFont="1" applyFill="1" applyBorder="1" applyAlignment="1">
      <alignment horizontal="center"/>
    </xf>
    <xf numFmtId="49" fontId="4" fillId="5" borderId="35" xfId="2" applyNumberFormat="1" applyFont="1" applyFill="1" applyBorder="1" applyAlignment="1">
      <alignment horizontal="center" vertical="center"/>
    </xf>
    <xf numFmtId="0" fontId="3" fillId="4" borderId="28" xfId="2" applyFont="1" applyFill="1" applyBorder="1" applyAlignment="1">
      <alignment horizontal="center"/>
    </xf>
    <xf numFmtId="0" fontId="9" fillId="5" borderId="23" xfId="2" applyFont="1" applyFill="1" applyBorder="1" applyAlignment="1">
      <alignment horizontal="left"/>
    </xf>
    <xf numFmtId="0" fontId="3" fillId="5" borderId="21" xfId="2" applyFont="1" applyFill="1" applyBorder="1" applyAlignment="1">
      <alignment horizontal="left"/>
    </xf>
    <xf numFmtId="3" fontId="3" fillId="5" borderId="36" xfId="2" applyNumberFormat="1" applyFont="1" applyFill="1" applyBorder="1" applyAlignment="1">
      <alignment horizontal="center"/>
    </xf>
    <xf numFmtId="3" fontId="3" fillId="5" borderId="37" xfId="2" applyNumberFormat="1" applyFont="1" applyFill="1" applyBorder="1" applyAlignment="1">
      <alignment horizontal="center"/>
    </xf>
    <xf numFmtId="3" fontId="3" fillId="5" borderId="38" xfId="2" applyNumberFormat="1" applyFont="1" applyFill="1" applyBorder="1" applyAlignment="1">
      <alignment horizontal="center"/>
    </xf>
    <xf numFmtId="3" fontId="3" fillId="5" borderId="39" xfId="2" applyNumberFormat="1" applyFont="1" applyFill="1" applyBorder="1" applyAlignment="1">
      <alignment horizontal="center"/>
    </xf>
    <xf numFmtId="3" fontId="3" fillId="0" borderId="39" xfId="2" applyNumberFormat="1" applyFont="1" applyBorder="1" applyAlignment="1" applyProtection="1">
      <alignment horizontal="center"/>
      <protection locked="0"/>
    </xf>
    <xf numFmtId="3" fontId="3" fillId="5" borderId="40" xfId="2" applyNumberFormat="1" applyFont="1" applyFill="1" applyBorder="1" applyAlignment="1">
      <alignment horizontal="center"/>
    </xf>
    <xf numFmtId="3" fontId="3" fillId="0" borderId="38" xfId="2" applyNumberFormat="1" applyFont="1" applyBorder="1" applyAlignment="1" applyProtection="1">
      <alignment horizontal="center"/>
      <protection locked="0"/>
    </xf>
    <xf numFmtId="3" fontId="3" fillId="5" borderId="25" xfId="2" applyNumberFormat="1" applyFont="1" applyFill="1" applyBorder="1" applyAlignment="1">
      <alignment horizontal="center"/>
    </xf>
    <xf numFmtId="49" fontId="4" fillId="5" borderId="41" xfId="2" applyNumberFormat="1" applyFont="1" applyFill="1" applyBorder="1" applyAlignment="1">
      <alignment horizontal="center" vertical="center"/>
    </xf>
    <xf numFmtId="0" fontId="9" fillId="5" borderId="42" xfId="2" applyFont="1" applyFill="1" applyBorder="1" applyAlignment="1">
      <alignment horizontal="left"/>
    </xf>
    <xf numFmtId="0" fontId="9" fillId="5" borderId="43" xfId="2" applyFont="1" applyFill="1" applyBorder="1" applyAlignment="1">
      <alignment horizontal="left"/>
    </xf>
    <xf numFmtId="0" fontId="9" fillId="5" borderId="44" xfId="2" applyFont="1" applyFill="1" applyBorder="1" applyAlignment="1">
      <alignment horizontal="left"/>
    </xf>
    <xf numFmtId="3" fontId="3" fillId="4" borderId="45" xfId="2" applyNumberFormat="1" applyFont="1" applyFill="1" applyBorder="1" applyAlignment="1">
      <alignment horizontal="center"/>
    </xf>
    <xf numFmtId="3" fontId="3" fillId="4" borderId="44" xfId="2" applyNumberFormat="1" applyFont="1" applyFill="1" applyBorder="1" applyAlignment="1">
      <alignment horizontal="center"/>
    </xf>
    <xf numFmtId="3" fontId="3" fillId="5" borderId="38" xfId="2" applyNumberFormat="1" applyFont="1" applyFill="1" applyBorder="1"/>
    <xf numFmtId="3" fontId="3" fillId="5" borderId="39" xfId="2" applyNumberFormat="1" applyFont="1" applyFill="1" applyBorder="1"/>
    <xf numFmtId="3" fontId="3" fillId="4" borderId="39" xfId="2" applyNumberFormat="1" applyFont="1" applyFill="1" applyBorder="1"/>
    <xf numFmtId="3" fontId="3" fillId="4" borderId="39" xfId="2" applyNumberFormat="1" applyFont="1" applyFill="1" applyBorder="1" applyAlignment="1">
      <alignment horizontal="center" vertical="center"/>
    </xf>
    <xf numFmtId="3" fontId="3" fillId="2" borderId="39" xfId="2" applyNumberFormat="1" applyFont="1" applyFill="1" applyBorder="1" applyAlignment="1" applyProtection="1">
      <alignment horizontal="right"/>
      <protection locked="0"/>
    </xf>
    <xf numFmtId="3" fontId="3" fillId="4" borderId="40" xfId="2" applyNumberFormat="1" applyFont="1" applyFill="1" applyBorder="1" applyAlignment="1">
      <alignment horizontal="center" vertical="center"/>
    </xf>
    <xf numFmtId="3" fontId="3" fillId="2" borderId="38" xfId="2" applyNumberFormat="1" applyFont="1" applyFill="1" applyBorder="1" applyProtection="1">
      <protection locked="0"/>
    </xf>
    <xf numFmtId="3" fontId="3" fillId="2" borderId="39" xfId="2" applyNumberFormat="1" applyFont="1" applyFill="1" applyBorder="1" applyProtection="1">
      <protection locked="0"/>
    </xf>
    <xf numFmtId="0" fontId="9" fillId="5" borderId="42" xfId="2" applyFont="1" applyFill="1" applyBorder="1" applyAlignment="1">
      <alignment horizontal="left" wrapText="1"/>
    </xf>
    <xf numFmtId="0" fontId="9" fillId="5" borderId="43" xfId="2" applyFont="1" applyFill="1" applyBorder="1" applyAlignment="1">
      <alignment horizontal="left" wrapText="1"/>
    </xf>
    <xf numFmtId="0" fontId="9" fillId="5" borderId="44" xfId="2" applyFont="1" applyFill="1" applyBorder="1" applyAlignment="1">
      <alignment horizontal="left" wrapText="1"/>
    </xf>
    <xf numFmtId="3" fontId="3" fillId="2" borderId="40" xfId="2" applyNumberFormat="1" applyFont="1" applyFill="1" applyBorder="1" applyAlignment="1" applyProtection="1">
      <alignment horizontal="right"/>
      <protection locked="0"/>
    </xf>
    <xf numFmtId="3" fontId="3" fillId="2" borderId="39" xfId="2" applyNumberFormat="1" applyFont="1" applyFill="1" applyBorder="1" applyAlignment="1" applyProtection="1">
      <alignment horizontal="center"/>
      <protection locked="0"/>
    </xf>
    <xf numFmtId="3" fontId="3" fillId="2" borderId="40" xfId="2" applyNumberFormat="1" applyFont="1" applyFill="1" applyBorder="1" applyAlignment="1" applyProtection="1">
      <alignment horizontal="center"/>
      <protection locked="0"/>
    </xf>
    <xf numFmtId="0" fontId="9" fillId="5" borderId="42" xfId="2" applyFont="1" applyFill="1" applyBorder="1" applyAlignment="1">
      <alignment horizontal="left"/>
    </xf>
    <xf numFmtId="0" fontId="9" fillId="5" borderId="43" xfId="2" applyFont="1" applyFill="1" applyBorder="1" applyAlignment="1">
      <alignment horizontal="left"/>
    </xf>
    <xf numFmtId="3" fontId="3" fillId="6" borderId="36" xfId="2" applyNumberFormat="1" applyFont="1" applyFill="1" applyBorder="1" applyAlignment="1">
      <alignment horizontal="center"/>
    </xf>
    <xf numFmtId="3" fontId="3" fillId="8" borderId="37" xfId="2" applyNumberFormat="1" applyFont="1" applyFill="1" applyBorder="1" applyAlignment="1">
      <alignment horizontal="center"/>
    </xf>
    <xf numFmtId="3" fontId="3" fillId="6" borderId="39" xfId="2" applyNumberFormat="1" applyFont="1" applyFill="1" applyBorder="1"/>
    <xf numFmtId="3" fontId="3" fillId="5" borderId="39" xfId="2" applyNumberFormat="1" applyFont="1" applyFill="1" applyBorder="1" applyAlignment="1">
      <alignment horizontal="right"/>
    </xf>
    <xf numFmtId="3" fontId="3" fillId="5" borderId="40" xfId="2" applyNumberFormat="1" applyFont="1" applyFill="1" applyBorder="1" applyAlignment="1">
      <alignment horizontal="right"/>
    </xf>
    <xf numFmtId="3" fontId="3" fillId="0" borderId="38" xfId="2" applyNumberFormat="1" applyFont="1" applyBorder="1" applyProtection="1">
      <protection locked="0"/>
    </xf>
    <xf numFmtId="3" fontId="3" fillId="0" borderId="39" xfId="2" applyNumberFormat="1" applyFont="1" applyBorder="1" applyProtection="1">
      <protection locked="0"/>
    </xf>
    <xf numFmtId="0" fontId="3" fillId="5" borderId="39" xfId="2" applyFont="1" applyFill="1" applyBorder="1" applyAlignment="1">
      <alignment horizontal="left"/>
    </xf>
    <xf numFmtId="0" fontId="3" fillId="5" borderId="42" xfId="2" applyFont="1" applyFill="1" applyBorder="1" applyAlignment="1">
      <alignment horizontal="left"/>
    </xf>
    <xf numFmtId="3" fontId="3" fillId="4" borderId="38" xfId="2" applyNumberFormat="1" applyFont="1" applyFill="1" applyBorder="1" applyAlignment="1">
      <alignment horizontal="center"/>
    </xf>
    <xf numFmtId="3" fontId="3" fillId="4" borderId="40" xfId="2" applyNumberFormat="1" applyFont="1" applyFill="1" applyBorder="1" applyAlignment="1">
      <alignment horizontal="center"/>
    </xf>
    <xf numFmtId="3" fontId="3" fillId="4" borderId="38" xfId="2" applyNumberFormat="1" applyFont="1" applyFill="1" applyBorder="1"/>
    <xf numFmtId="3" fontId="3" fillId="5" borderId="44" xfId="2" applyNumberFormat="1" applyFont="1" applyFill="1" applyBorder="1" applyAlignment="1">
      <alignment horizontal="center"/>
    </xf>
    <xf numFmtId="49" fontId="4" fillId="5" borderId="46" xfId="2" applyNumberFormat="1" applyFont="1" applyFill="1" applyBorder="1" applyAlignment="1">
      <alignment horizontal="center" vertical="center"/>
    </xf>
    <xf numFmtId="0" fontId="3" fillId="4" borderId="47" xfId="2" applyFont="1" applyFill="1" applyBorder="1" applyAlignment="1">
      <alignment horizontal="center"/>
    </xf>
    <xf numFmtId="0" fontId="4" fillId="5" borderId="48" xfId="2" applyFont="1" applyFill="1" applyBorder="1" applyAlignment="1">
      <alignment horizontal="left"/>
    </xf>
    <xf numFmtId="0" fontId="4" fillId="5" borderId="49" xfId="2" applyFont="1" applyFill="1" applyBorder="1" applyAlignment="1">
      <alignment horizontal="left"/>
    </xf>
    <xf numFmtId="0" fontId="4" fillId="5" borderId="50" xfId="2" applyFont="1" applyFill="1" applyBorder="1" applyAlignment="1">
      <alignment horizontal="left"/>
    </xf>
    <xf numFmtId="3" fontId="3" fillId="4" borderId="51" xfId="2" applyNumberFormat="1" applyFont="1" applyFill="1" applyBorder="1" applyAlignment="1">
      <alignment horizontal="center"/>
    </xf>
    <xf numFmtId="3" fontId="3" fillId="4" borderId="50" xfId="2" applyNumberFormat="1" applyFont="1" applyFill="1" applyBorder="1" applyAlignment="1">
      <alignment horizontal="center"/>
    </xf>
    <xf numFmtId="3" fontId="3" fillId="4" borderId="52" xfId="2" applyNumberFormat="1" applyFont="1" applyFill="1" applyBorder="1" applyAlignment="1">
      <alignment horizontal="center" wrapText="1"/>
    </xf>
    <xf numFmtId="3" fontId="3" fillId="4" borderId="53" xfId="2" applyNumberFormat="1" applyFont="1" applyFill="1" applyBorder="1" applyAlignment="1">
      <alignment horizontal="center" wrapText="1"/>
    </xf>
    <xf numFmtId="3" fontId="3" fillId="4" borderId="53" xfId="2" applyNumberFormat="1" applyFont="1" applyFill="1" applyBorder="1" applyAlignment="1">
      <alignment horizontal="center"/>
    </xf>
    <xf numFmtId="3" fontId="3" fillId="4" borderId="54" xfId="2" applyNumberFormat="1" applyFont="1" applyFill="1" applyBorder="1" applyAlignment="1">
      <alignment horizontal="center"/>
    </xf>
    <xf numFmtId="3" fontId="3" fillId="5" borderId="50" xfId="2" applyNumberFormat="1" applyFont="1" applyFill="1" applyBorder="1" applyAlignment="1">
      <alignment horizontal="center"/>
    </xf>
    <xf numFmtId="49" fontId="4" fillId="5" borderId="55" xfId="2" applyNumberFormat="1" applyFont="1" applyFill="1" applyBorder="1" applyAlignment="1">
      <alignment horizontal="center" vertical="center"/>
    </xf>
    <xf numFmtId="0" fontId="3" fillId="4" borderId="30" xfId="2" applyFont="1" applyFill="1" applyBorder="1"/>
    <xf numFmtId="0" fontId="3" fillId="5" borderId="32" xfId="2" applyFont="1" applyFill="1" applyBorder="1" applyAlignment="1">
      <alignment horizontal="left" wrapText="1"/>
    </xf>
    <xf numFmtId="0" fontId="3" fillId="5" borderId="7" xfId="2" applyFont="1" applyFill="1" applyBorder="1" applyAlignment="1">
      <alignment horizontal="left" wrapText="1"/>
    </xf>
    <xf numFmtId="0" fontId="3" fillId="5" borderId="8" xfId="2" applyFont="1" applyFill="1" applyBorder="1" applyAlignment="1">
      <alignment horizontal="left" wrapText="1"/>
    </xf>
    <xf numFmtId="3" fontId="3" fillId="4" borderId="33" xfId="2" applyNumberFormat="1" applyFont="1" applyFill="1" applyBorder="1" applyAlignment="1">
      <alignment horizontal="center"/>
    </xf>
    <xf numFmtId="3" fontId="3" fillId="4" borderId="34" xfId="2" applyNumberFormat="1" applyFont="1" applyFill="1" applyBorder="1" applyAlignment="1">
      <alignment horizontal="center"/>
    </xf>
    <xf numFmtId="3" fontId="3" fillId="4" borderId="33" xfId="2" applyNumberFormat="1" applyFont="1" applyFill="1" applyBorder="1" applyAlignment="1">
      <alignment horizontal="right"/>
    </xf>
    <xf numFmtId="3" fontId="3" fillId="4" borderId="31" xfId="2" applyNumberFormat="1" applyFont="1" applyFill="1" applyBorder="1" applyAlignment="1">
      <alignment horizontal="right"/>
    </xf>
    <xf numFmtId="3" fontId="3" fillId="2" borderId="31" xfId="2" applyNumberFormat="1" applyFont="1" applyFill="1" applyBorder="1" applyAlignment="1" applyProtection="1">
      <alignment horizontal="right"/>
      <protection locked="0"/>
    </xf>
    <xf numFmtId="3" fontId="3" fillId="2" borderId="34" xfId="2" applyNumberFormat="1" applyFont="1" applyFill="1" applyBorder="1" applyAlignment="1" applyProtection="1">
      <alignment horizontal="right"/>
      <protection locked="0"/>
    </xf>
    <xf numFmtId="3" fontId="3" fillId="2" borderId="33" xfId="2" applyNumberFormat="1" applyFont="1" applyFill="1" applyBorder="1" applyAlignment="1" applyProtection="1">
      <alignment horizontal="center"/>
      <protection locked="0"/>
    </xf>
    <xf numFmtId="3" fontId="3" fillId="2" borderId="31" xfId="2" applyNumberFormat="1" applyFont="1" applyFill="1" applyBorder="1" applyAlignment="1" applyProtection="1">
      <alignment horizontal="center"/>
      <protection locked="0"/>
    </xf>
    <xf numFmtId="3" fontId="3" fillId="2" borderId="31" xfId="2" applyNumberFormat="1" applyFont="1" applyFill="1" applyBorder="1" applyProtection="1">
      <protection locked="0"/>
    </xf>
    <xf numFmtId="3" fontId="3" fillId="2" borderId="34" xfId="2" applyNumberFormat="1" applyFont="1" applyFill="1" applyBorder="1" applyAlignment="1" applyProtection="1">
      <alignment horizontal="center"/>
      <protection locked="0"/>
    </xf>
    <xf numFmtId="3" fontId="3" fillId="5" borderId="7" xfId="2" applyNumberFormat="1" applyFont="1" applyFill="1" applyBorder="1" applyAlignment="1">
      <alignment horizontal="center"/>
    </xf>
    <xf numFmtId="0" fontId="3" fillId="4" borderId="28" xfId="2" applyFont="1" applyFill="1" applyBorder="1"/>
    <xf numFmtId="0" fontId="3" fillId="5" borderId="42" xfId="2" applyFont="1" applyFill="1" applyBorder="1" applyAlignment="1">
      <alignment horizontal="left" wrapText="1"/>
    </xf>
    <xf numFmtId="0" fontId="3" fillId="5" borderId="43" xfId="2" applyFont="1" applyFill="1" applyBorder="1" applyAlignment="1">
      <alignment horizontal="left" wrapText="1"/>
    </xf>
    <xf numFmtId="0" fontId="3" fillId="5" borderId="44" xfId="2" applyFont="1" applyFill="1" applyBorder="1" applyAlignment="1">
      <alignment horizontal="left" wrapText="1"/>
    </xf>
    <xf numFmtId="3" fontId="3" fillId="4" borderId="38" xfId="2" applyNumberFormat="1" applyFont="1" applyFill="1" applyBorder="1" applyAlignment="1">
      <alignment horizontal="right"/>
    </xf>
    <xf numFmtId="3" fontId="3" fillId="4" borderId="39" xfId="2" applyNumberFormat="1" applyFont="1" applyFill="1" applyBorder="1" applyAlignment="1">
      <alignment horizontal="right"/>
    </xf>
    <xf numFmtId="3" fontId="3" fillId="2" borderId="38" xfId="2" applyNumberFormat="1" applyFont="1" applyFill="1" applyBorder="1" applyAlignment="1" applyProtection="1">
      <alignment horizontal="center"/>
      <protection locked="0"/>
    </xf>
    <xf numFmtId="3" fontId="3" fillId="5" borderId="0" xfId="2" applyNumberFormat="1" applyFont="1" applyFill="1" applyAlignment="1">
      <alignment horizontal="center"/>
    </xf>
    <xf numFmtId="49" fontId="4" fillId="5" borderId="19" xfId="2" applyNumberFormat="1" applyFont="1" applyFill="1" applyBorder="1" applyAlignment="1">
      <alignment horizontal="center" vertical="center"/>
    </xf>
    <xf numFmtId="0" fontId="3" fillId="4" borderId="47" xfId="2" applyFont="1" applyFill="1" applyBorder="1"/>
    <xf numFmtId="0" fontId="4" fillId="5" borderId="48" xfId="2" applyFont="1" applyFill="1" applyBorder="1" applyAlignment="1">
      <alignment horizontal="left" wrapText="1"/>
    </xf>
    <xf numFmtId="0" fontId="4" fillId="5" borderId="49" xfId="2" applyFont="1" applyFill="1" applyBorder="1" applyAlignment="1">
      <alignment horizontal="left" wrapText="1"/>
    </xf>
    <xf numFmtId="0" fontId="4" fillId="5" borderId="50" xfId="2" applyFont="1" applyFill="1" applyBorder="1" applyAlignment="1">
      <alignment horizontal="left" wrapText="1"/>
    </xf>
    <xf numFmtId="3" fontId="3" fillId="4" borderId="52" xfId="2" applyNumberFormat="1" applyFont="1" applyFill="1" applyBorder="1" applyAlignment="1">
      <alignment horizontal="center"/>
    </xf>
    <xf numFmtId="3" fontId="3" fillId="5" borderId="49" xfId="2" applyNumberFormat="1" applyFont="1" applyFill="1" applyBorder="1" applyAlignment="1">
      <alignment horizontal="center"/>
    </xf>
    <xf numFmtId="0" fontId="3" fillId="5" borderId="7" xfId="2" applyFont="1" applyFill="1" applyBorder="1" applyAlignment="1">
      <alignment horizontal="left"/>
    </xf>
    <xf numFmtId="0" fontId="3" fillId="5" borderId="8" xfId="2" applyFont="1" applyFill="1" applyBorder="1" applyAlignment="1">
      <alignment horizontal="left"/>
    </xf>
    <xf numFmtId="3" fontId="3" fillId="4" borderId="6" xfId="2" applyNumberFormat="1" applyFont="1" applyFill="1" applyBorder="1" applyAlignment="1">
      <alignment horizontal="center"/>
    </xf>
    <xf numFmtId="3" fontId="3" fillId="4" borderId="8" xfId="2" applyNumberFormat="1" applyFont="1" applyFill="1" applyBorder="1" applyAlignment="1">
      <alignment horizontal="center"/>
    </xf>
    <xf numFmtId="49" fontId="3" fillId="4" borderId="31" xfId="2" applyNumberFormat="1" applyFont="1" applyFill="1" applyBorder="1" applyAlignment="1">
      <alignment horizontal="center"/>
    </xf>
    <xf numFmtId="3" fontId="3" fillId="4" borderId="31" xfId="2" applyNumberFormat="1" applyFont="1" applyFill="1" applyBorder="1" applyAlignment="1">
      <alignment horizontal="center" vertical="center"/>
    </xf>
    <xf numFmtId="3" fontId="3" fillId="4" borderId="34" xfId="2" applyNumberFormat="1" applyFont="1" applyFill="1" applyBorder="1" applyAlignment="1">
      <alignment horizontal="center" vertical="center"/>
    </xf>
    <xf numFmtId="0" fontId="3" fillId="5" borderId="43" xfId="2" applyFont="1" applyFill="1" applyBorder="1" applyAlignment="1">
      <alignment horizontal="left"/>
    </xf>
    <xf numFmtId="0" fontId="3" fillId="5" borderId="44" xfId="2" applyFont="1" applyFill="1" applyBorder="1" applyAlignment="1">
      <alignment horizontal="left"/>
    </xf>
    <xf numFmtId="3" fontId="3" fillId="4" borderId="38" xfId="2" applyNumberFormat="1" applyFont="1" applyFill="1" applyBorder="1" applyAlignment="1">
      <alignment horizontal="center"/>
    </xf>
    <xf numFmtId="3" fontId="3" fillId="4" borderId="39" xfId="2" applyNumberFormat="1" applyFont="1" applyFill="1" applyBorder="1" applyAlignment="1">
      <alignment horizontal="center"/>
    </xf>
    <xf numFmtId="3" fontId="3" fillId="5" borderId="43" xfId="2" applyNumberFormat="1" applyFont="1" applyFill="1" applyBorder="1" applyAlignment="1">
      <alignment horizontal="center"/>
    </xf>
    <xf numFmtId="0" fontId="3" fillId="5" borderId="49" xfId="2" applyFont="1" applyFill="1" applyBorder="1" applyAlignment="1">
      <alignment horizontal="left"/>
    </xf>
    <xf numFmtId="0" fontId="3" fillId="5" borderId="50" xfId="2" applyFont="1" applyFill="1" applyBorder="1" applyAlignment="1">
      <alignment horizontal="left"/>
    </xf>
    <xf numFmtId="3" fontId="3" fillId="5" borderId="51" xfId="2" applyNumberFormat="1" applyFont="1" applyFill="1" applyBorder="1" applyAlignment="1">
      <alignment horizontal="center"/>
    </xf>
    <xf numFmtId="3" fontId="3" fillId="5" borderId="50" xfId="2" applyNumberFormat="1" applyFont="1" applyFill="1" applyBorder="1" applyAlignment="1">
      <alignment horizontal="center"/>
    </xf>
    <xf numFmtId="3" fontId="3" fillId="4" borderId="52" xfId="2" applyNumberFormat="1" applyFont="1" applyFill="1" applyBorder="1" applyAlignment="1">
      <alignment horizontal="right"/>
    </xf>
    <xf numFmtId="3" fontId="3" fillId="4" borderId="53" xfId="2" applyNumberFormat="1" applyFont="1" applyFill="1" applyBorder="1" applyAlignment="1">
      <alignment horizontal="right"/>
    </xf>
    <xf numFmtId="3" fontId="3" fillId="2" borderId="53" xfId="2" applyNumberFormat="1" applyFont="1" applyFill="1" applyBorder="1" applyAlignment="1" applyProtection="1">
      <alignment horizontal="right"/>
      <protection locked="0"/>
    </xf>
    <xf numFmtId="3" fontId="3" fillId="2" borderId="54" xfId="2" applyNumberFormat="1" applyFont="1" applyFill="1" applyBorder="1" applyAlignment="1" applyProtection="1">
      <alignment horizontal="right"/>
      <protection locked="0"/>
    </xf>
    <xf numFmtId="3" fontId="3" fillId="2" borderId="52" xfId="2" applyNumberFormat="1" applyFont="1" applyFill="1" applyBorder="1" applyAlignment="1" applyProtection="1">
      <alignment horizontal="center"/>
      <protection locked="0"/>
    </xf>
    <xf numFmtId="3" fontId="3" fillId="2" borderId="53" xfId="2" applyNumberFormat="1" applyFont="1" applyFill="1" applyBorder="1" applyAlignment="1" applyProtection="1">
      <alignment horizontal="center"/>
      <protection locked="0"/>
    </xf>
    <xf numFmtId="3" fontId="3" fillId="2" borderId="53" xfId="2" applyNumberFormat="1" applyFont="1" applyFill="1" applyBorder="1" applyProtection="1">
      <protection locked="0"/>
    </xf>
    <xf numFmtId="3" fontId="3" fillId="2" borderId="54" xfId="2" applyNumberFormat="1" applyFont="1" applyFill="1" applyBorder="1" applyAlignment="1" applyProtection="1">
      <alignment horizontal="center"/>
      <protection locked="0"/>
    </xf>
    <xf numFmtId="3" fontId="3" fillId="5" borderId="2" xfId="2" applyNumberFormat="1" applyFont="1" applyFill="1" applyBorder="1" applyAlignment="1">
      <alignment horizontal="center"/>
    </xf>
    <xf numFmtId="49" fontId="4" fillId="5" borderId="56" xfId="2" applyNumberFormat="1" applyFont="1" applyFill="1" applyBorder="1" applyAlignment="1">
      <alignment horizontal="center" vertical="center"/>
    </xf>
    <xf numFmtId="0" fontId="3" fillId="5" borderId="57" xfId="2" applyFont="1" applyFill="1" applyBorder="1" applyAlignment="1">
      <alignment horizontal="left"/>
    </xf>
    <xf numFmtId="0" fontId="3" fillId="5" borderId="2" xfId="2" applyFont="1" applyFill="1" applyBorder="1" applyAlignment="1">
      <alignment horizontal="left"/>
    </xf>
    <xf numFmtId="0" fontId="3" fillId="5" borderId="58" xfId="2" applyFont="1" applyFill="1" applyBorder="1" applyAlignment="1">
      <alignment horizontal="left"/>
    </xf>
    <xf numFmtId="3" fontId="3" fillId="4" borderId="59" xfId="2" applyNumberFormat="1" applyFont="1" applyFill="1" applyBorder="1" applyAlignment="1">
      <alignment horizontal="center"/>
    </xf>
    <xf numFmtId="3" fontId="3" fillId="4" borderId="58" xfId="2" applyNumberFormat="1" applyFont="1" applyFill="1" applyBorder="1" applyAlignment="1">
      <alignment horizontal="center"/>
    </xf>
    <xf numFmtId="164" fontId="3" fillId="4" borderId="47" xfId="1" applyNumberFormat="1" applyFont="1" applyFill="1" applyBorder="1" applyAlignment="1">
      <alignment horizontal="center"/>
    </xf>
    <xf numFmtId="164" fontId="3" fillId="4" borderId="60" xfId="1" applyNumberFormat="1" applyFont="1" applyFill="1" applyBorder="1" applyAlignment="1">
      <alignment horizontal="center"/>
    </xf>
    <xf numFmtId="164" fontId="3" fillId="4" borderId="61" xfId="1" applyNumberFormat="1" applyFont="1" applyFill="1" applyBorder="1" applyAlignment="1">
      <alignment horizontal="center"/>
    </xf>
    <xf numFmtId="164" fontId="3" fillId="4" borderId="57" xfId="1" applyNumberFormat="1" applyFont="1" applyFill="1" applyBorder="1" applyAlignment="1">
      <alignment horizontal="center"/>
    </xf>
    <xf numFmtId="164" fontId="3" fillId="4" borderId="58" xfId="1" applyNumberFormat="1" applyFont="1" applyFill="1" applyBorder="1" applyAlignment="1">
      <alignment horizontal="center"/>
    </xf>
    <xf numFmtId="164" fontId="3" fillId="4" borderId="62" xfId="1" applyNumberFormat="1" applyFont="1" applyFill="1" applyBorder="1" applyAlignment="1">
      <alignment horizontal="center"/>
    </xf>
    <xf numFmtId="0" fontId="3" fillId="3" borderId="0" xfId="2" applyFont="1" applyFill="1"/>
    <xf numFmtId="0" fontId="3" fillId="0" borderId="0" xfId="2" applyFont="1"/>
    <xf numFmtId="0" fontId="4" fillId="4" borderId="5" xfId="2" applyFont="1" applyFill="1" applyBorder="1" applyAlignment="1">
      <alignment horizontal="center" vertical="center"/>
    </xf>
    <xf numFmtId="0" fontId="3" fillId="4" borderId="6" xfId="2" applyFont="1" applyFill="1" applyBorder="1" applyAlignment="1">
      <alignment horizontal="center" vertical="center" wrapText="1"/>
    </xf>
    <xf numFmtId="0" fontId="3" fillId="4" borderId="7" xfId="2" applyFont="1" applyFill="1" applyBorder="1" applyAlignment="1">
      <alignment horizontal="center" vertical="center" wrapText="1"/>
    </xf>
    <xf numFmtId="0" fontId="3" fillId="4" borderId="8" xfId="2" applyFont="1" applyFill="1" applyBorder="1" applyAlignment="1">
      <alignment horizontal="center" vertical="center" wrapText="1"/>
    </xf>
    <xf numFmtId="0" fontId="3" fillId="2" borderId="6" xfId="2" applyFont="1" applyFill="1" applyBorder="1" applyAlignment="1" applyProtection="1">
      <alignment horizontal="center" vertical="center" wrapText="1"/>
      <protection locked="0"/>
    </xf>
    <xf numFmtId="0" fontId="3" fillId="2" borderId="7" xfId="2" applyFont="1" applyFill="1" applyBorder="1" applyAlignment="1" applyProtection="1">
      <alignment horizontal="center" vertical="center" wrapText="1"/>
      <protection locked="0"/>
    </xf>
    <xf numFmtId="0" fontId="3" fillId="2" borderId="8" xfId="2" applyFont="1" applyFill="1" applyBorder="1" applyAlignment="1" applyProtection="1">
      <alignment horizontal="center" vertical="center" wrapText="1"/>
      <protection locked="0"/>
    </xf>
    <xf numFmtId="0" fontId="3" fillId="5" borderId="9" xfId="2" applyFont="1" applyFill="1" applyBorder="1" applyAlignment="1">
      <alignment horizontal="center" vertical="center"/>
    </xf>
    <xf numFmtId="0" fontId="4" fillId="4" borderId="11" xfId="2" applyFont="1" applyFill="1" applyBorder="1" applyAlignment="1">
      <alignment horizontal="center" vertical="center"/>
    </xf>
    <xf numFmtId="0" fontId="3" fillId="5" borderId="19" xfId="2" applyFont="1" applyFill="1" applyBorder="1" applyAlignment="1">
      <alignment horizontal="center" vertical="center"/>
    </xf>
    <xf numFmtId="0" fontId="3" fillId="4" borderId="26" xfId="2" applyFont="1" applyFill="1" applyBorder="1" applyAlignment="1">
      <alignment horizontal="center" vertical="center" wrapText="1"/>
    </xf>
    <xf numFmtId="0" fontId="3" fillId="4" borderId="18" xfId="2" applyFont="1" applyFill="1" applyBorder="1" applyAlignment="1">
      <alignment horizontal="center" vertical="center" wrapText="1"/>
    </xf>
    <xf numFmtId="0" fontId="3" fillId="2" borderId="18" xfId="2" applyFont="1" applyFill="1" applyBorder="1" applyAlignment="1" applyProtection="1">
      <alignment horizontal="center" vertical="center" wrapText="1"/>
      <protection locked="0"/>
    </xf>
    <xf numFmtId="0" fontId="3" fillId="4" borderId="15" xfId="2" applyFont="1" applyFill="1" applyBorder="1" applyAlignment="1">
      <alignment horizontal="center" vertical="center" wrapText="1"/>
    </xf>
    <xf numFmtId="0" fontId="3" fillId="2" borderId="27" xfId="2" applyFont="1" applyFill="1" applyBorder="1" applyAlignment="1" applyProtection="1">
      <alignment horizontal="center" vertical="center" wrapText="1"/>
      <protection locked="0"/>
    </xf>
    <xf numFmtId="0" fontId="3" fillId="4" borderId="28" xfId="2" applyFont="1" applyFill="1" applyBorder="1" applyAlignment="1">
      <alignment horizontal="center" vertical="center" wrapText="1"/>
    </xf>
    <xf numFmtId="0" fontId="3" fillId="4" borderId="14" xfId="2" applyFont="1" applyFill="1" applyBorder="1" applyAlignment="1">
      <alignment horizontal="center" vertical="center" wrapText="1"/>
    </xf>
    <xf numFmtId="0" fontId="3" fillId="2" borderId="14" xfId="2" applyFont="1" applyFill="1" applyBorder="1" applyAlignment="1" applyProtection="1">
      <alignment horizontal="center" vertical="center" wrapText="1"/>
      <protection locked="0"/>
    </xf>
    <xf numFmtId="0" fontId="3" fillId="4" borderId="13" xfId="2" applyFont="1" applyFill="1" applyBorder="1" applyAlignment="1">
      <alignment horizontal="center" vertical="center" wrapText="1"/>
    </xf>
    <xf numFmtId="0" fontId="3" fillId="2" borderId="29" xfId="2" applyFont="1" applyFill="1" applyBorder="1" applyAlignment="1" applyProtection="1">
      <alignment horizontal="center" vertical="center" wrapText="1"/>
      <protection locked="0"/>
    </xf>
    <xf numFmtId="0" fontId="4" fillId="5" borderId="56" xfId="2" applyFont="1" applyFill="1" applyBorder="1" applyAlignment="1">
      <alignment horizontal="center" vertical="center"/>
    </xf>
    <xf numFmtId="3" fontId="3" fillId="5" borderId="35" xfId="2" applyNumberFormat="1" applyFont="1" applyFill="1" applyBorder="1" applyAlignment="1">
      <alignment horizontal="center"/>
    </xf>
    <xf numFmtId="0" fontId="3" fillId="5" borderId="25" xfId="2" applyFont="1" applyFill="1" applyBorder="1" applyAlignment="1">
      <alignment horizontal="left"/>
    </xf>
    <xf numFmtId="3" fontId="3" fillId="5" borderId="41" xfId="2" applyNumberFormat="1" applyFont="1" applyFill="1" applyBorder="1" applyAlignment="1">
      <alignment horizontal="center"/>
    </xf>
    <xf numFmtId="3" fontId="3" fillId="3" borderId="46" xfId="2" applyNumberFormat="1" applyFont="1" applyFill="1" applyBorder="1" applyAlignment="1" applyProtection="1">
      <alignment horizontal="center"/>
      <protection locked="0"/>
    </xf>
    <xf numFmtId="3" fontId="3" fillId="4" borderId="63" xfId="2" applyNumberFormat="1" applyFont="1" applyFill="1" applyBorder="1" applyAlignment="1">
      <alignment horizontal="center" wrapText="1"/>
    </xf>
    <xf numFmtId="3" fontId="3" fillId="4" borderId="48" xfId="2" applyNumberFormat="1" applyFont="1" applyFill="1" applyBorder="1" applyAlignment="1">
      <alignment horizontal="center"/>
    </xf>
    <xf numFmtId="3" fontId="3" fillId="4" borderId="50" xfId="2" applyNumberFormat="1" applyFont="1" applyFill="1" applyBorder="1" applyAlignment="1">
      <alignment horizontal="center"/>
    </xf>
    <xf numFmtId="3" fontId="3" fillId="5" borderId="55" xfId="2" applyNumberFormat="1" applyFont="1" applyFill="1" applyBorder="1" applyAlignment="1">
      <alignment horizontal="center"/>
    </xf>
    <xf numFmtId="3" fontId="3" fillId="4" borderId="64" xfId="2" applyNumberFormat="1" applyFont="1" applyFill="1" applyBorder="1" applyAlignment="1">
      <alignment horizontal="right"/>
    </xf>
    <xf numFmtId="3" fontId="3" fillId="4" borderId="24" xfId="2" applyNumberFormat="1" applyFont="1" applyFill="1" applyBorder="1" applyAlignment="1">
      <alignment horizontal="right"/>
    </xf>
    <xf numFmtId="3" fontId="3" fillId="2" borderId="24" xfId="2" applyNumberFormat="1" applyFont="1" applyFill="1" applyBorder="1" applyAlignment="1" applyProtection="1">
      <alignment horizontal="right"/>
      <protection locked="0"/>
    </xf>
    <xf numFmtId="3" fontId="3" fillId="2" borderId="23" xfId="2" applyNumberFormat="1" applyFont="1" applyFill="1" applyBorder="1" applyAlignment="1" applyProtection="1">
      <alignment horizontal="right"/>
      <protection locked="0"/>
    </xf>
    <xf numFmtId="3" fontId="3" fillId="2" borderId="37" xfId="2" applyNumberFormat="1" applyFont="1" applyFill="1" applyBorder="1" applyAlignment="1" applyProtection="1">
      <alignment horizontal="right"/>
      <protection locked="0"/>
    </xf>
    <xf numFmtId="3" fontId="3" fillId="2" borderId="64" xfId="2" applyNumberFormat="1" applyFont="1" applyFill="1" applyBorder="1" applyAlignment="1" applyProtection="1">
      <alignment horizontal="center"/>
      <protection locked="0"/>
    </xf>
    <xf numFmtId="3" fontId="3" fillId="2" borderId="24" xfId="2" applyNumberFormat="1" applyFont="1" applyFill="1" applyBorder="1" applyAlignment="1" applyProtection="1">
      <alignment horizontal="center"/>
      <protection locked="0"/>
    </xf>
    <xf numFmtId="3" fontId="3" fillId="2" borderId="24" xfId="2" applyNumberFormat="1" applyFont="1" applyFill="1" applyBorder="1" applyProtection="1">
      <protection locked="0"/>
    </xf>
    <xf numFmtId="3" fontId="3" fillId="2" borderId="37" xfId="2" applyNumberFormat="1" applyFont="1" applyFill="1" applyBorder="1" applyAlignment="1" applyProtection="1">
      <alignment horizontal="center"/>
      <protection locked="0"/>
    </xf>
    <xf numFmtId="3" fontId="3" fillId="2" borderId="25" xfId="2" applyNumberFormat="1" applyFont="1" applyFill="1" applyBorder="1" applyAlignment="1" applyProtection="1">
      <alignment horizontal="center"/>
      <protection locked="0"/>
    </xf>
    <xf numFmtId="3" fontId="3" fillId="4" borderId="65" xfId="2" applyNumberFormat="1" applyFont="1" applyFill="1" applyBorder="1" applyAlignment="1">
      <alignment horizontal="right"/>
    </xf>
    <xf numFmtId="3" fontId="3" fillId="4" borderId="14" xfId="2" applyNumberFormat="1" applyFont="1" applyFill="1" applyBorder="1" applyAlignment="1">
      <alignment horizontal="right"/>
    </xf>
    <xf numFmtId="3" fontId="3" fillId="2" borderId="14" xfId="2" applyNumberFormat="1" applyFont="1" applyFill="1" applyBorder="1" applyAlignment="1" applyProtection="1">
      <alignment horizontal="right"/>
      <protection locked="0"/>
    </xf>
    <xf numFmtId="3" fontId="3" fillId="2" borderId="13" xfId="2" applyNumberFormat="1" applyFont="1" applyFill="1" applyBorder="1" applyAlignment="1" applyProtection="1">
      <alignment horizontal="right"/>
      <protection locked="0"/>
    </xf>
    <xf numFmtId="3" fontId="3" fillId="2" borderId="29" xfId="2" applyNumberFormat="1" applyFont="1" applyFill="1" applyBorder="1" applyAlignment="1" applyProtection="1">
      <alignment horizontal="right"/>
      <protection locked="0"/>
    </xf>
    <xf numFmtId="3" fontId="3" fillId="2" borderId="65" xfId="2" applyNumberFormat="1" applyFont="1" applyFill="1" applyBorder="1" applyAlignment="1" applyProtection="1">
      <alignment horizontal="center"/>
      <protection locked="0"/>
    </xf>
    <xf numFmtId="3" fontId="3" fillId="2" borderId="14" xfId="2" applyNumberFormat="1" applyFont="1" applyFill="1" applyBorder="1" applyAlignment="1" applyProtection="1">
      <alignment horizontal="center"/>
      <protection locked="0"/>
    </xf>
    <xf numFmtId="3" fontId="3" fillId="2" borderId="14" xfId="2" applyNumberFormat="1" applyFont="1" applyFill="1" applyBorder="1" applyProtection="1">
      <protection locked="0"/>
    </xf>
    <xf numFmtId="3" fontId="3" fillId="2" borderId="29" xfId="2" applyNumberFormat="1" applyFont="1" applyFill="1" applyBorder="1" applyAlignment="1" applyProtection="1">
      <alignment horizontal="center"/>
      <protection locked="0"/>
    </xf>
    <xf numFmtId="3" fontId="3" fillId="2" borderId="11" xfId="2" applyNumberFormat="1" applyFont="1" applyFill="1" applyBorder="1" applyAlignment="1" applyProtection="1">
      <alignment horizontal="center"/>
      <protection locked="0"/>
    </xf>
    <xf numFmtId="3" fontId="3" fillId="5" borderId="19" xfId="2" applyNumberFormat="1" applyFont="1" applyFill="1" applyBorder="1" applyAlignment="1">
      <alignment horizontal="center"/>
    </xf>
    <xf numFmtId="3" fontId="3" fillId="4" borderId="63" xfId="2" applyNumberFormat="1" applyFont="1" applyFill="1" applyBorder="1" applyAlignment="1">
      <alignment horizontal="center"/>
    </xf>
    <xf numFmtId="3" fontId="3" fillId="4" borderId="18" xfId="2" applyNumberFormat="1" applyFont="1" applyFill="1" applyBorder="1" applyAlignment="1">
      <alignment horizontal="center"/>
    </xf>
    <xf numFmtId="3" fontId="3" fillId="4" borderId="15" xfId="2" applyNumberFormat="1" applyFont="1" applyFill="1" applyBorder="1" applyAlignment="1">
      <alignment horizontal="center"/>
    </xf>
    <xf numFmtId="3" fontId="3" fillId="4" borderId="27" xfId="2" applyNumberFormat="1" applyFont="1" applyFill="1" applyBorder="1" applyAlignment="1">
      <alignment horizontal="center"/>
    </xf>
    <xf numFmtId="3" fontId="3" fillId="4" borderId="17" xfId="2" applyNumberFormat="1" applyFont="1" applyFill="1" applyBorder="1" applyAlignment="1">
      <alignment horizontal="center"/>
    </xf>
    <xf numFmtId="3" fontId="3" fillId="4" borderId="66" xfId="2" applyNumberFormat="1" applyFont="1" applyFill="1" applyBorder="1" applyAlignment="1">
      <alignment horizontal="center" vertical="center"/>
    </xf>
    <xf numFmtId="3" fontId="3" fillId="4" borderId="67" xfId="2" applyNumberFormat="1" applyFont="1" applyFill="1" applyBorder="1" applyAlignment="1">
      <alignment horizontal="center" vertical="center"/>
    </xf>
    <xf numFmtId="3" fontId="3" fillId="4" borderId="68" xfId="2" applyNumberFormat="1" applyFont="1" applyFill="1" applyBorder="1" applyAlignment="1">
      <alignment horizontal="center" vertical="center"/>
    </xf>
    <xf numFmtId="3" fontId="3" fillId="4" borderId="5" xfId="2" applyNumberFormat="1" applyFont="1" applyFill="1" applyBorder="1" applyAlignment="1">
      <alignment horizontal="center" vertical="center"/>
    </xf>
    <xf numFmtId="3" fontId="3" fillId="4" borderId="67" xfId="2" applyNumberFormat="1" applyFont="1" applyFill="1" applyBorder="1" applyAlignment="1" applyProtection="1">
      <alignment horizontal="center" vertical="center"/>
      <protection locked="0"/>
    </xf>
    <xf numFmtId="3" fontId="3" fillId="4" borderId="65" xfId="2" applyNumberFormat="1" applyFont="1" applyFill="1" applyBorder="1" applyAlignment="1">
      <alignment horizontal="center"/>
    </xf>
    <xf numFmtId="3" fontId="3" fillId="4" borderId="23" xfId="2" applyNumberFormat="1" applyFont="1" applyFill="1" applyBorder="1" applyAlignment="1">
      <alignment horizontal="center" vertical="center"/>
    </xf>
    <xf numFmtId="3" fontId="3" fillId="4" borderId="44" xfId="2" applyNumberFormat="1" applyFont="1" applyFill="1" applyBorder="1" applyAlignment="1">
      <alignment horizontal="center" vertical="center"/>
    </xf>
    <xf numFmtId="3" fontId="3" fillId="5" borderId="46" xfId="2" applyNumberFormat="1" applyFont="1" applyFill="1" applyBorder="1" applyAlignment="1">
      <alignment horizontal="center"/>
    </xf>
    <xf numFmtId="3" fontId="3" fillId="4" borderId="28" xfId="2" applyNumberFormat="1" applyFont="1" applyFill="1" applyBorder="1" applyAlignment="1">
      <alignment horizontal="right"/>
    </xf>
    <xf numFmtId="3" fontId="3" fillId="4" borderId="12" xfId="2" applyNumberFormat="1" applyFont="1" applyFill="1" applyBorder="1" applyAlignment="1">
      <alignment horizontal="right"/>
    </xf>
    <xf numFmtId="3" fontId="3" fillId="2" borderId="28" xfId="2" applyNumberFormat="1" applyFont="1" applyFill="1" applyBorder="1" applyAlignment="1" applyProtection="1">
      <alignment horizontal="center"/>
      <protection locked="0"/>
    </xf>
    <xf numFmtId="3" fontId="3" fillId="2" borderId="12" xfId="2" applyNumberFormat="1" applyFont="1" applyFill="1" applyBorder="1" applyAlignment="1" applyProtection="1">
      <alignment horizontal="center"/>
      <protection locked="0"/>
    </xf>
    <xf numFmtId="3" fontId="3" fillId="2" borderId="18" xfId="2" applyNumberFormat="1" applyFont="1" applyFill="1" applyBorder="1" applyAlignment="1" applyProtection="1">
      <alignment horizontal="center"/>
      <protection locked="0"/>
    </xf>
    <xf numFmtId="0" fontId="3" fillId="4" borderId="69" xfId="2" applyFont="1" applyFill="1" applyBorder="1"/>
    <xf numFmtId="0" fontId="3" fillId="5" borderId="70" xfId="2" applyFont="1" applyFill="1" applyBorder="1" applyAlignment="1">
      <alignment horizontal="left"/>
    </xf>
    <xf numFmtId="0" fontId="3" fillId="5" borderId="71" xfId="2" applyFont="1" applyFill="1" applyBorder="1" applyAlignment="1">
      <alignment horizontal="left"/>
    </xf>
    <xf numFmtId="0" fontId="3" fillId="5" borderId="72" xfId="2" applyFont="1" applyFill="1" applyBorder="1" applyAlignment="1">
      <alignment horizontal="left"/>
    </xf>
    <xf numFmtId="3" fontId="3" fillId="4" borderId="73" xfId="2" applyNumberFormat="1" applyFont="1" applyFill="1" applyBorder="1" applyAlignment="1">
      <alignment horizontal="center"/>
    </xf>
    <xf numFmtId="3" fontId="3" fillId="4" borderId="72" xfId="2" applyNumberFormat="1" applyFont="1" applyFill="1" applyBorder="1" applyAlignment="1">
      <alignment horizontal="center"/>
    </xf>
    <xf numFmtId="164" fontId="3" fillId="4" borderId="69" xfId="1" applyNumberFormat="1" applyFont="1" applyFill="1" applyBorder="1" applyAlignment="1">
      <alignment horizontal="center"/>
    </xf>
    <xf numFmtId="164" fontId="3" fillId="4" borderId="74" xfId="1" applyNumberFormat="1" applyFont="1" applyFill="1" applyBorder="1" applyAlignment="1">
      <alignment horizontal="center"/>
    </xf>
    <xf numFmtId="164" fontId="3" fillId="4" borderId="75" xfId="1" applyNumberFormat="1" applyFont="1" applyFill="1" applyBorder="1" applyAlignment="1">
      <alignment horizontal="center"/>
    </xf>
    <xf numFmtId="164" fontId="3" fillId="4" borderId="70" xfId="1" applyNumberFormat="1" applyFont="1" applyFill="1" applyBorder="1" applyAlignment="1">
      <alignment horizontal="center"/>
    </xf>
    <xf numFmtId="164" fontId="3" fillId="4" borderId="76" xfId="1" applyNumberFormat="1" applyFont="1" applyFill="1" applyBorder="1" applyAlignment="1">
      <alignment horizontal="center"/>
    </xf>
    <xf numFmtId="164" fontId="3" fillId="4" borderId="72" xfId="1" applyNumberFormat="1" applyFont="1" applyFill="1" applyBorder="1" applyAlignment="1">
      <alignment horizontal="center"/>
    </xf>
    <xf numFmtId="3" fontId="3" fillId="5" borderId="77" xfId="2" applyNumberFormat="1" applyFont="1" applyFill="1" applyBorder="1" applyAlignment="1">
      <alignment horizontal="center"/>
    </xf>
    <xf numFmtId="49" fontId="4" fillId="5" borderId="77" xfId="2" applyNumberFormat="1" applyFont="1" applyFill="1" applyBorder="1" applyAlignment="1">
      <alignment horizontal="center" vertical="center"/>
    </xf>
    <xf numFmtId="0" fontId="4" fillId="0" borderId="0" xfId="2" applyFont="1" applyAlignment="1">
      <alignment vertical="center" wrapText="1"/>
    </xf>
    <xf numFmtId="0" fontId="3" fillId="2" borderId="0" xfId="2" applyFont="1" applyFill="1" applyAlignment="1">
      <alignment horizontal="left" vertical="top" wrapText="1"/>
    </xf>
    <xf numFmtId="1" fontId="3" fillId="2" borderId="0" xfId="2" applyNumberFormat="1" applyFont="1" applyFill="1"/>
    <xf numFmtId="0" fontId="3" fillId="0" borderId="0" xfId="2" applyFont="1" applyAlignment="1">
      <alignment wrapText="1"/>
    </xf>
    <xf numFmtId="0" fontId="4" fillId="0" borderId="0" xfId="3" applyFont="1" applyAlignment="1">
      <alignment vertical="center" wrapText="1"/>
    </xf>
    <xf numFmtId="0" fontId="3" fillId="2" borderId="0" xfId="2" applyFont="1" applyFill="1" applyAlignment="1">
      <alignment horizontal="left" wrapText="1"/>
    </xf>
    <xf numFmtId="1" fontId="3" fillId="2" borderId="0" xfId="2" applyNumberFormat="1" applyFont="1" applyFill="1" applyAlignment="1">
      <alignment horizontal="left" wrapText="1"/>
    </xf>
    <xf numFmtId="0" fontId="3" fillId="2" borderId="0" xfId="2" applyFont="1" applyFill="1" applyAlignment="1">
      <alignment horizontal="center" wrapText="1"/>
    </xf>
    <xf numFmtId="1" fontId="3" fillId="2" borderId="0" xfId="2" applyNumberFormat="1" applyFont="1" applyFill="1" applyAlignment="1">
      <alignment horizontal="center" wrapText="1"/>
    </xf>
    <xf numFmtId="0" fontId="3" fillId="2" borderId="0" xfId="2" applyFont="1" applyFill="1" applyAlignment="1">
      <alignment horizontal="center" wrapText="1"/>
    </xf>
    <xf numFmtId="0" fontId="3" fillId="0" borderId="0" xfId="3" applyFont="1" applyAlignment="1">
      <alignment vertical="center" wrapText="1"/>
    </xf>
    <xf numFmtId="0" fontId="14" fillId="0" borderId="0" xfId="2" applyFont="1" applyAlignment="1">
      <alignment vertical="top" wrapText="1"/>
    </xf>
    <xf numFmtId="0" fontId="3" fillId="2" borderId="0" xfId="2" applyFont="1" applyFill="1" applyAlignment="1">
      <alignment vertical="top" wrapText="1"/>
    </xf>
    <xf numFmtId="0" fontId="3" fillId="2" borderId="0" xfId="2" applyFont="1" applyFill="1" applyAlignment="1">
      <alignment vertical="top"/>
    </xf>
    <xf numFmtId="0" fontId="3" fillId="2" borderId="0" xfId="2" applyFont="1" applyFill="1" applyAlignment="1">
      <alignment horizontal="left" vertical="top"/>
    </xf>
  </cellXfs>
  <cellStyles count="4">
    <cellStyle name="Įprastas" xfId="0" builtinId="0"/>
    <cellStyle name="Normal 2" xfId="2" xr:uid="{13BBD747-A6FE-4843-A945-45D136288627}"/>
    <cellStyle name="Normal 2 3" xfId="3" xr:uid="{3901FEAD-E37C-4F4D-9ABC-43D1E93412ED}"/>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kompascentras-my.sharepoint.com/personal/renata_siupiniene_rkpc_lt/Documents/Darbalaukis/RVA%20ataskaitos/STIP-2025/VERT%20pateikimas/METINIS%202026-05-08/2026-05-08%20Metinis%20ataskait&#371;%20rinkinys%20(&#353;ilumos%20sektorius)%20(13).xlsx" TargetMode="External"/><Relationship Id="rId2" Type="http://schemas.microsoft.com/office/2019/04/relationships/externalLinkLongPath" Target="/personal/renata_siupiniene_rkpc_lt/Documents/Darbalaukis/RVA%20ataskaitos/STIP-2025/VERT%20pateikimas/METINIS%202026-05-08/2026-05-08%20Metinis%20ataskait&#371;%20rinkinys%20(&#353;ilumos%20sektorius)%20(13).xlsx?D2F56182" TargetMode="External"/><Relationship Id="rId1" Type="http://schemas.openxmlformats.org/officeDocument/2006/relationships/externalLinkPath" Target="file:///\\D2F56182\2026-05-08%20Metinis%20ataskait&#371;%20rinkinys%20(&#353;ilumos%20sektorius)%20(13).xlsx" TargetMode="External"/><Relationship Id="rId4" Type="http://schemas.openxmlformats.org/officeDocument/2006/relationships/externalLinkPath" Target="../VERT%20pateikimas/METINIS%202026-05-08/2026-05-08%20Metinis%20ataskait&#371;%20rinkinys%20(&#353;ilumos%20sektoriu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Forma 15"/>
      <sheetName val="Forma 1"/>
      <sheetName val="Forma 2"/>
      <sheetName val="Forma 3"/>
      <sheetName val="Forma 4"/>
      <sheetName val="Forma 5"/>
      <sheetName val="Forma 6"/>
      <sheetName val="Forma 8"/>
      <sheetName val="Forma 7"/>
      <sheetName val="Forma 9"/>
      <sheetName val="Forma 10"/>
      <sheetName val="Forma 11"/>
      <sheetName val="Forma 12"/>
      <sheetName val="Forma 13"/>
      <sheetName val="Instrukcija"/>
      <sheetName val="Rodikliai"/>
    </sheetNames>
    <sheetDataSet>
      <sheetData sheetId="0"/>
      <sheetData sheetId="1"/>
      <sheetData sheetId="2">
        <row r="185">
          <cell r="J185">
            <v>94741.93</v>
          </cell>
        </row>
      </sheetData>
      <sheetData sheetId="3"/>
      <sheetData sheetId="4"/>
      <sheetData sheetId="5"/>
      <sheetData sheetId="6"/>
      <sheetData sheetId="7"/>
      <sheetData sheetId="8"/>
      <sheetData sheetId="9">
        <row r="9">
          <cell r="AC9" t="str">
            <v>CŠT sistema 1</v>
          </cell>
          <cell r="AV9" t="str">
            <v>CŠT sistema 2</v>
          </cell>
          <cell r="BO9" t="str">
            <v>CŠT sistema 3</v>
          </cell>
          <cell r="CH9" t="str">
            <v>CŠT sistema 4</v>
          </cell>
          <cell r="DA9" t="str">
            <v>CŠT sistema 5</v>
          </cell>
          <cell r="DT9" t="str">
            <v>CŠT sistema 6</v>
          </cell>
          <cell r="EM9" t="str">
            <v>CŠT sistema 7</v>
          </cell>
        </row>
        <row r="13">
          <cell r="I13" t="str">
            <v xml:space="preserve">... paslauga (produktas) </v>
          </cell>
          <cell r="L13" t="str">
            <v xml:space="preserve">... paslauga (produktas) </v>
          </cell>
          <cell r="M13" t="str">
            <v xml:space="preserve">... paslauga (produktas) </v>
          </cell>
          <cell r="Q13" t="str">
            <v xml:space="preserve">... paslauga (produktas) </v>
          </cell>
          <cell r="R13" t="str">
            <v xml:space="preserve">... paslauga (produktas) </v>
          </cell>
          <cell r="U13" t="str">
            <v xml:space="preserve">... paslauga (produktas) </v>
          </cell>
          <cell r="V13" t="str">
            <v xml:space="preserve">... paslauga (produktas) </v>
          </cell>
          <cell r="Y13" t="str">
            <v xml:space="preserve">... paslauga (produktas) </v>
          </cell>
          <cell r="AB13" t="str">
            <v xml:space="preserve">... paslauga (produktas) </v>
          </cell>
          <cell r="AG13" t="str">
            <v xml:space="preserve">... paslauga (produktas) </v>
          </cell>
          <cell r="AJ13" t="str">
            <v xml:space="preserve">... paslauga (produktas) </v>
          </cell>
          <cell r="AK13" t="str">
            <v xml:space="preserve">... paslauga (produktas) </v>
          </cell>
          <cell r="AO13" t="str">
            <v xml:space="preserve">... paslauga (produktas) </v>
          </cell>
          <cell r="AP13" t="str">
            <v xml:space="preserve">... paslauga (produktas) </v>
          </cell>
          <cell r="AS13" t="str">
            <v xml:space="preserve">... paslauga (produktas) </v>
          </cell>
          <cell r="AT13" t="str">
            <v xml:space="preserve">... paslauga (produktas) </v>
          </cell>
          <cell r="AZ13" t="str">
            <v xml:space="preserve">... paslauga (produktas) </v>
          </cell>
          <cell r="BC13" t="str">
            <v xml:space="preserve">... paslauga (produktas) </v>
          </cell>
          <cell r="BD13" t="str">
            <v xml:space="preserve">... paslauga (produktas) </v>
          </cell>
          <cell r="BH13" t="str">
            <v xml:space="preserve">... paslauga (produktas) </v>
          </cell>
          <cell r="BI13" t="str">
            <v xml:space="preserve">... paslauga (produktas) </v>
          </cell>
          <cell r="BL13" t="str">
            <v xml:space="preserve">... paslauga (produktas) </v>
          </cell>
          <cell r="BM13" t="str">
            <v xml:space="preserve">... paslauga (produktas) </v>
          </cell>
          <cell r="BS13" t="str">
            <v xml:space="preserve">... paslauga (produktas) </v>
          </cell>
          <cell r="BV13" t="str">
            <v xml:space="preserve">... paslauga (produktas) </v>
          </cell>
          <cell r="BW13" t="str">
            <v xml:space="preserve">... paslauga (produktas) </v>
          </cell>
          <cell r="CA13" t="str">
            <v xml:space="preserve">... paslauga (produktas) </v>
          </cell>
          <cell r="CB13" t="str">
            <v xml:space="preserve">... paslauga (produktas) </v>
          </cell>
          <cell r="CE13" t="str">
            <v xml:space="preserve">... paslauga (produktas) </v>
          </cell>
          <cell r="CF13" t="str">
            <v xml:space="preserve">... paslauga (produktas) </v>
          </cell>
          <cell r="CL13" t="str">
            <v xml:space="preserve">... paslauga (produktas) </v>
          </cell>
          <cell r="CO13" t="str">
            <v xml:space="preserve">... paslauga (produktas) </v>
          </cell>
          <cell r="CP13" t="str">
            <v xml:space="preserve">... paslauga (produktas) </v>
          </cell>
          <cell r="CT13" t="str">
            <v xml:space="preserve">... paslauga (produktas) </v>
          </cell>
          <cell r="CU13" t="str">
            <v xml:space="preserve">... paslauga (produktas) </v>
          </cell>
          <cell r="CX13" t="str">
            <v xml:space="preserve">... paslauga (produktas) </v>
          </cell>
          <cell r="CY13" t="str">
            <v xml:space="preserve">... paslauga (produktas) </v>
          </cell>
          <cell r="DE13" t="str">
            <v xml:space="preserve">... paslauga (produktas) </v>
          </cell>
          <cell r="DH13" t="str">
            <v xml:space="preserve">... paslauga (produktas) </v>
          </cell>
          <cell r="DI13" t="str">
            <v xml:space="preserve">... paslauga (produktas) </v>
          </cell>
          <cell r="DM13" t="str">
            <v xml:space="preserve">... paslauga (produktas) </v>
          </cell>
          <cell r="DN13" t="str">
            <v xml:space="preserve">... paslauga (produktas) </v>
          </cell>
          <cell r="DQ13" t="str">
            <v xml:space="preserve">... paslauga (produktas) </v>
          </cell>
          <cell r="DR13" t="str">
            <v xml:space="preserve">... paslauga (produktas) </v>
          </cell>
          <cell r="DX13" t="str">
            <v xml:space="preserve">... paslauga (produktas) </v>
          </cell>
          <cell r="EA13" t="str">
            <v xml:space="preserve">... paslauga (produktas) </v>
          </cell>
          <cell r="EB13" t="str">
            <v xml:space="preserve">... paslauga (produktas) </v>
          </cell>
          <cell r="EF13" t="str">
            <v xml:space="preserve">... paslauga (produktas) </v>
          </cell>
          <cell r="EG13" t="str">
            <v xml:space="preserve">... paslauga (produktas) </v>
          </cell>
          <cell r="EJ13" t="str">
            <v xml:space="preserve">... paslauga (produktas) </v>
          </cell>
          <cell r="EK13" t="str">
            <v xml:space="preserve">... paslauga (produktas) </v>
          </cell>
          <cell r="EQ13" t="str">
            <v xml:space="preserve">... paslauga (produktas) </v>
          </cell>
          <cell r="ET13" t="str">
            <v xml:space="preserve">... paslauga (produktas) </v>
          </cell>
          <cell r="EU13" t="str">
            <v xml:space="preserve">... paslauga (produktas) </v>
          </cell>
          <cell r="EY13" t="str">
            <v xml:space="preserve">... paslauga (produktas) </v>
          </cell>
          <cell r="EZ13" t="str">
            <v xml:space="preserve">... paslauga (produktas) </v>
          </cell>
          <cell r="FC13" t="str">
            <v xml:space="preserve">... paslauga (produktas) </v>
          </cell>
          <cell r="FD13" t="str">
            <v xml:space="preserve">... paslauga (produktas) </v>
          </cell>
        </row>
      </sheetData>
      <sheetData sheetId="10"/>
      <sheetData sheetId="11"/>
      <sheetData sheetId="12"/>
      <sheetData sheetId="13">
        <row r="191">
          <cell r="W191">
            <v>0</v>
          </cell>
          <cell r="X191">
            <v>0</v>
          </cell>
          <cell r="Y191">
            <v>0</v>
          </cell>
          <cell r="Z191">
            <v>0</v>
          </cell>
          <cell r="AA191">
            <v>0</v>
          </cell>
          <cell r="AB191">
            <v>1841816.4598340024</v>
          </cell>
          <cell r="AC191">
            <v>1220919.2200000004</v>
          </cell>
          <cell r="AD191">
            <v>0</v>
          </cell>
          <cell r="AE191">
            <v>0</v>
          </cell>
          <cell r="AF191">
            <v>0</v>
          </cell>
          <cell r="AG191">
            <v>0</v>
          </cell>
          <cell r="AH191">
            <v>88564.609999999986</v>
          </cell>
          <cell r="AI191">
            <v>0</v>
          </cell>
          <cell r="AJ191">
            <v>0</v>
          </cell>
          <cell r="AK191">
            <v>38801.96</v>
          </cell>
          <cell r="AL191">
            <v>2204.7910000000002</v>
          </cell>
          <cell r="AM191">
            <v>0</v>
          </cell>
          <cell r="AN191">
            <v>283.91100000000006</v>
          </cell>
          <cell r="AO191">
            <v>0</v>
          </cell>
          <cell r="AP191">
            <v>0</v>
          </cell>
          <cell r="AQ191">
            <v>97848.03</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row>
      </sheetData>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U88"/>
  <sheetViews>
    <sheetView tabSelected="1" workbookViewId="0">
      <selection activeCell="L8" sqref="L8"/>
    </sheetView>
  </sheetViews>
  <sheetFormatPr defaultColWidth="9.140625" defaultRowHeight="12.75" x14ac:dyDescent="0.2"/>
  <cols>
    <col min="1" max="1" width="2.85546875" style="3" customWidth="1"/>
    <col min="2" max="2" width="9.140625" style="3"/>
    <col min="3" max="5" width="11.42578125" style="3" customWidth="1"/>
    <col min="6" max="6" width="35.42578125" style="3" customWidth="1"/>
    <col min="7" max="7" width="8.140625" style="3" customWidth="1"/>
    <col min="8" max="8" width="10" style="3" customWidth="1"/>
    <col min="9" max="10" width="16.28515625" style="3" customWidth="1"/>
    <col min="11" max="11" width="21.28515625" style="3" customWidth="1"/>
    <col min="12" max="12" width="18.140625" style="3" customWidth="1"/>
    <col min="13" max="13" width="15.85546875" style="3" customWidth="1"/>
    <col min="14" max="15" width="16.28515625" style="3" customWidth="1"/>
    <col min="16" max="16" width="19.7109375" style="3" customWidth="1"/>
    <col min="17" max="17" width="17.5703125" style="3" customWidth="1"/>
    <col min="18" max="18" width="16.28515625" style="3" customWidth="1"/>
    <col min="19" max="19" width="14.42578125" style="3" customWidth="1"/>
    <col min="20" max="20" width="17.5703125" style="3" customWidth="1"/>
    <col min="21" max="22" width="16.28515625" style="3" customWidth="1"/>
    <col min="23" max="23" width="13.42578125" style="3" customWidth="1"/>
    <col min="24" max="24" width="17.85546875" style="3" customWidth="1"/>
    <col min="25" max="25" width="13.5703125" style="3" customWidth="1"/>
    <col min="26" max="26" width="13.85546875" style="3" customWidth="1"/>
    <col min="27" max="27" width="13.42578125" style="3" customWidth="1"/>
    <col min="28" max="29" width="10.7109375" style="3" customWidth="1"/>
    <col min="30" max="30" width="12.85546875" style="3" customWidth="1"/>
    <col min="31" max="32" width="16.28515625" style="3" customWidth="1"/>
    <col min="33" max="33" width="14.28515625" style="3" customWidth="1"/>
    <col min="34" max="34" width="18.140625" style="3" customWidth="1"/>
    <col min="35" max="35" width="15.85546875" style="3" customWidth="1"/>
    <col min="36" max="37" width="16.28515625" style="3" customWidth="1"/>
    <col min="38" max="38" width="19.7109375" style="3" customWidth="1"/>
    <col min="39" max="39" width="17.5703125" style="3" customWidth="1"/>
    <col min="40" max="40" width="16.28515625" style="3" customWidth="1"/>
    <col min="41" max="41" width="14.42578125" style="3" customWidth="1"/>
    <col min="42" max="42" width="17.5703125" style="3" customWidth="1"/>
    <col min="43" max="44" width="16.28515625" style="3" customWidth="1"/>
    <col min="45" max="45" width="13.42578125" style="3" customWidth="1"/>
    <col min="46" max="47" width="17.85546875" style="3" customWidth="1"/>
    <col min="48" max="49" width="16.28515625" style="3" customWidth="1"/>
    <col min="50" max="50" width="14.28515625" style="3" customWidth="1"/>
    <col min="51" max="51" width="18.140625" style="3" customWidth="1"/>
    <col min="52" max="52" width="15.85546875" style="3" customWidth="1"/>
    <col min="53" max="54" width="16.28515625" style="3" customWidth="1"/>
    <col min="55" max="55" width="19.7109375" style="3" customWidth="1"/>
    <col min="56" max="56" width="17.5703125" style="3" customWidth="1"/>
    <col min="57" max="57" width="16.28515625" style="3" customWidth="1"/>
    <col min="58" max="58" width="14.42578125" style="3" customWidth="1"/>
    <col min="59" max="59" width="17.5703125" style="3" customWidth="1"/>
    <col min="60" max="61" width="16.28515625" style="3" customWidth="1"/>
    <col min="62" max="62" width="13.42578125" style="3" customWidth="1"/>
    <col min="63" max="64" width="17.85546875" style="3" customWidth="1"/>
    <col min="65" max="66" width="16.28515625" style="3" customWidth="1"/>
    <col min="67" max="67" width="14.28515625" style="3" customWidth="1"/>
    <col min="68" max="68" width="18.140625" style="3" customWidth="1"/>
    <col min="69" max="69" width="15.85546875" style="3" customWidth="1"/>
    <col min="70" max="71" width="16.28515625" style="3" customWidth="1"/>
    <col min="72" max="72" width="19.7109375" style="3" customWidth="1"/>
    <col min="73" max="73" width="17.5703125" style="3" customWidth="1"/>
    <col min="74" max="74" width="16.28515625" style="3" customWidth="1"/>
    <col min="75" max="75" width="14.42578125" style="3" customWidth="1"/>
    <col min="76" max="76" width="17.5703125" style="3" customWidth="1"/>
    <col min="77" max="78" width="16.28515625" style="3" customWidth="1"/>
    <col min="79" max="79" width="13.42578125" style="3" customWidth="1"/>
    <col min="80" max="81" width="17.85546875" style="3" customWidth="1"/>
    <col min="82" max="83" width="16.28515625" style="3" customWidth="1"/>
    <col min="84" max="84" width="14.28515625" style="3" customWidth="1"/>
    <col min="85" max="85" width="18.140625" style="3" customWidth="1"/>
    <col min="86" max="86" width="15.85546875" style="3" customWidth="1"/>
    <col min="87" max="88" width="16.28515625" style="3" customWidth="1"/>
    <col min="89" max="89" width="19.7109375" style="3" customWidth="1"/>
    <col min="90" max="90" width="17.5703125" style="3" customWidth="1"/>
    <col min="91" max="91" width="16.28515625" style="3" customWidth="1"/>
    <col min="92" max="92" width="14.42578125" style="3" customWidth="1"/>
    <col min="93" max="93" width="17.5703125" style="3" customWidth="1"/>
    <col min="94" max="95" width="16.28515625" style="3" customWidth="1"/>
    <col min="96" max="96" width="13.42578125" style="3" customWidth="1"/>
    <col min="97" max="98" width="17.85546875" style="3" customWidth="1"/>
    <col min="99" max="100" width="16.28515625" style="3" customWidth="1"/>
    <col min="101" max="101" width="14.28515625" style="3" customWidth="1"/>
    <col min="102" max="102" width="18.140625" style="3" customWidth="1"/>
    <col min="103" max="103" width="15.85546875" style="3" customWidth="1"/>
    <col min="104" max="105" width="16.28515625" style="3" customWidth="1"/>
    <col min="106" max="106" width="19.7109375" style="3" customWidth="1"/>
    <col min="107" max="107" width="17.5703125" style="3" customWidth="1"/>
    <col min="108" max="108" width="16.28515625" style="3" customWidth="1"/>
    <col min="109" max="109" width="14.42578125" style="3" customWidth="1"/>
    <col min="110" max="110" width="17.5703125" style="3" customWidth="1"/>
    <col min="111" max="112" width="16.28515625" style="3" customWidth="1"/>
    <col min="113" max="113" width="13.42578125" style="3" customWidth="1"/>
    <col min="114" max="115" width="17.85546875" style="3" customWidth="1"/>
    <col min="116" max="117" width="16.28515625" style="3" customWidth="1"/>
    <col min="118" max="118" width="14.28515625" style="3" customWidth="1"/>
    <col min="119" max="119" width="18.140625" style="3" customWidth="1"/>
    <col min="120" max="120" width="15.85546875" style="3" customWidth="1"/>
    <col min="121" max="122" width="16.28515625" style="3" customWidth="1"/>
    <col min="123" max="123" width="19.7109375" style="3" customWidth="1"/>
    <col min="124" max="124" width="17.5703125" style="3" customWidth="1"/>
    <col min="125" max="125" width="16.28515625" style="3" customWidth="1"/>
    <col min="126" max="126" width="14.42578125" style="3" customWidth="1"/>
    <col min="127" max="127" width="17.5703125" style="3" customWidth="1"/>
    <col min="128" max="129" width="16.28515625" style="3" customWidth="1"/>
    <col min="130" max="130" width="13.42578125" style="3" customWidth="1"/>
    <col min="131" max="132" width="17.85546875" style="3" customWidth="1"/>
    <col min="133" max="134" width="16.28515625" style="3" customWidth="1"/>
    <col min="135" max="135" width="14.28515625" style="3" customWidth="1"/>
    <col min="136" max="136" width="18.140625" style="3" customWidth="1"/>
    <col min="137" max="137" width="15.85546875" style="3" customWidth="1"/>
    <col min="138" max="139" width="16.28515625" style="3" customWidth="1"/>
    <col min="140" max="140" width="19.7109375" style="3" customWidth="1"/>
    <col min="141" max="141" width="17.5703125" style="3" customWidth="1"/>
    <col min="142" max="142" width="16.28515625" style="3" customWidth="1"/>
    <col min="143" max="143" width="14.42578125" style="3" customWidth="1"/>
    <col min="144" max="144" width="17.5703125" style="3" customWidth="1"/>
    <col min="145" max="146" width="16.28515625" style="3" customWidth="1"/>
    <col min="147" max="147" width="13.42578125" style="3" customWidth="1"/>
    <col min="148" max="149" width="17.85546875" style="3" customWidth="1"/>
    <col min="150" max="150" width="14.140625" style="3" customWidth="1"/>
    <col min="151" max="151" width="24.140625" style="3" customWidth="1"/>
    <col min="152" max="16384" width="9.140625" style="3"/>
  </cols>
  <sheetData>
    <row r="1" spans="1:151" ht="13.5" thickBot="1" x14ac:dyDescent="0.2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row>
    <row r="2" spans="1:151" ht="13.5" thickBot="1" x14ac:dyDescent="0.25">
      <c r="A2" s="1"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row>
    <row r="3" spans="1:151" ht="13.5" thickBo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row>
    <row r="4" spans="1:151" ht="13.5" thickBo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row>
    <row r="5" spans="1:151" ht="13.5" thickBot="1" x14ac:dyDescent="0.25">
      <c r="A5" s="4" t="s">
        <v>2</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row>
    <row r="6" spans="1:151" ht="13.5" thickBot="1"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row>
    <row r="7" spans="1:151" ht="18" customHeight="1" x14ac:dyDescent="0.2">
      <c r="B7" s="5"/>
      <c r="C7" s="5"/>
      <c r="D7" s="5"/>
      <c r="E7" s="5"/>
      <c r="F7" s="5"/>
      <c r="G7" s="5"/>
      <c r="H7" s="5"/>
      <c r="I7" s="5"/>
      <c r="J7" s="5"/>
      <c r="K7" s="5"/>
      <c r="L7" s="5"/>
      <c r="M7" s="6"/>
      <c r="N7" s="6"/>
      <c r="AI7" s="6"/>
      <c r="AJ7" s="6"/>
      <c r="AZ7" s="6"/>
      <c r="BA7" s="6"/>
      <c r="BQ7" s="6"/>
      <c r="BR7" s="6"/>
      <c r="CH7" s="6"/>
      <c r="CI7" s="6"/>
      <c r="CY7" s="6"/>
      <c r="CZ7" s="6"/>
      <c r="DP7" s="6"/>
      <c r="DQ7" s="6"/>
      <c r="EG7" s="6"/>
      <c r="EH7" s="6"/>
    </row>
    <row r="8" spans="1:151" ht="29.25" customHeight="1" thickBot="1" x14ac:dyDescent="0.25">
      <c r="B8" s="7"/>
      <c r="C8" s="7"/>
      <c r="D8" s="7"/>
      <c r="E8" s="7"/>
      <c r="F8" s="7"/>
      <c r="EQ8" s="8" t="s">
        <v>3</v>
      </c>
      <c r="ER8" s="8"/>
      <c r="ES8" s="8"/>
      <c r="ET8" s="8"/>
      <c r="EU8" s="8"/>
    </row>
    <row r="9" spans="1:151" ht="15.75" customHeight="1" x14ac:dyDescent="0.2">
      <c r="B9" s="9" t="s">
        <v>4</v>
      </c>
      <c r="C9" s="10"/>
      <c r="D9" s="10"/>
      <c r="E9" s="10"/>
      <c r="F9" s="10"/>
      <c r="G9" s="11" t="s">
        <v>5</v>
      </c>
      <c r="H9" s="12"/>
      <c r="I9" s="13" t="s">
        <v>6</v>
      </c>
      <c r="J9" s="14"/>
      <c r="K9" s="14"/>
      <c r="L9" s="14"/>
      <c r="M9" s="14"/>
      <c r="N9" s="14"/>
      <c r="O9" s="14"/>
      <c r="P9" s="14"/>
      <c r="Q9" s="14"/>
      <c r="R9" s="14"/>
      <c r="S9" s="14"/>
      <c r="T9" s="14"/>
      <c r="U9" s="14"/>
      <c r="V9" s="14"/>
      <c r="W9" s="14"/>
      <c r="X9" s="14"/>
      <c r="Y9" s="14"/>
      <c r="Z9" s="14"/>
      <c r="AA9" s="14"/>
      <c r="AB9" s="14"/>
      <c r="AC9" s="14"/>
      <c r="AD9" s="15"/>
      <c r="AE9" s="13" t="str">
        <f>SIS062_D_Cstsistema1</f>
        <v>CŠT sistema 1</v>
      </c>
      <c r="AF9" s="14"/>
      <c r="AG9" s="14"/>
      <c r="AH9" s="14"/>
      <c r="AI9" s="14"/>
      <c r="AJ9" s="14"/>
      <c r="AK9" s="14"/>
      <c r="AL9" s="14"/>
      <c r="AM9" s="14"/>
      <c r="AN9" s="14"/>
      <c r="AO9" s="14"/>
      <c r="AP9" s="14"/>
      <c r="AQ9" s="14"/>
      <c r="AR9" s="14"/>
      <c r="AS9" s="14"/>
      <c r="AT9" s="14"/>
      <c r="AU9" s="15"/>
      <c r="AV9" s="13" t="str">
        <f>SIS062_D_Cstsistema2</f>
        <v>CŠT sistema 2</v>
      </c>
      <c r="AW9" s="14"/>
      <c r="AX9" s="14"/>
      <c r="AY9" s="14"/>
      <c r="AZ9" s="14"/>
      <c r="BA9" s="14"/>
      <c r="BB9" s="14"/>
      <c r="BC9" s="14"/>
      <c r="BD9" s="14"/>
      <c r="BE9" s="14"/>
      <c r="BF9" s="14"/>
      <c r="BG9" s="14"/>
      <c r="BH9" s="14"/>
      <c r="BI9" s="14"/>
      <c r="BJ9" s="14"/>
      <c r="BK9" s="14"/>
      <c r="BL9" s="15"/>
      <c r="BM9" s="13" t="str">
        <f>SIS062_D_Cstsistema3</f>
        <v>CŠT sistema 3</v>
      </c>
      <c r="BN9" s="14"/>
      <c r="BO9" s="14"/>
      <c r="BP9" s="14"/>
      <c r="BQ9" s="14"/>
      <c r="BR9" s="14"/>
      <c r="BS9" s="14"/>
      <c r="BT9" s="14"/>
      <c r="BU9" s="14"/>
      <c r="BV9" s="14"/>
      <c r="BW9" s="14"/>
      <c r="BX9" s="14"/>
      <c r="BY9" s="14"/>
      <c r="BZ9" s="14"/>
      <c r="CA9" s="14"/>
      <c r="CB9" s="14"/>
      <c r="CC9" s="15"/>
      <c r="CD9" s="13" t="str">
        <f>SIS062_D_Cstsistema4</f>
        <v>CŠT sistema 4</v>
      </c>
      <c r="CE9" s="14"/>
      <c r="CF9" s="14"/>
      <c r="CG9" s="14"/>
      <c r="CH9" s="14"/>
      <c r="CI9" s="14"/>
      <c r="CJ9" s="14"/>
      <c r="CK9" s="14"/>
      <c r="CL9" s="14"/>
      <c r="CM9" s="14"/>
      <c r="CN9" s="14"/>
      <c r="CO9" s="14"/>
      <c r="CP9" s="14"/>
      <c r="CQ9" s="14"/>
      <c r="CR9" s="14"/>
      <c r="CS9" s="14"/>
      <c r="CT9" s="15"/>
      <c r="CU9" s="13" t="str">
        <f>SIS062_D_Cstsistema5</f>
        <v>CŠT sistema 5</v>
      </c>
      <c r="CV9" s="14"/>
      <c r="CW9" s="14"/>
      <c r="CX9" s="14"/>
      <c r="CY9" s="14"/>
      <c r="CZ9" s="14"/>
      <c r="DA9" s="14"/>
      <c r="DB9" s="14"/>
      <c r="DC9" s="14"/>
      <c r="DD9" s="14"/>
      <c r="DE9" s="14"/>
      <c r="DF9" s="14"/>
      <c r="DG9" s="14"/>
      <c r="DH9" s="14"/>
      <c r="DI9" s="14"/>
      <c r="DJ9" s="14"/>
      <c r="DK9" s="15"/>
      <c r="DL9" s="13" t="str">
        <f>SIS062_D_Cstsistema6</f>
        <v>CŠT sistema 6</v>
      </c>
      <c r="DM9" s="14"/>
      <c r="DN9" s="14"/>
      <c r="DO9" s="14"/>
      <c r="DP9" s="14"/>
      <c r="DQ9" s="14"/>
      <c r="DR9" s="14"/>
      <c r="DS9" s="14"/>
      <c r="DT9" s="14"/>
      <c r="DU9" s="14"/>
      <c r="DV9" s="14"/>
      <c r="DW9" s="14"/>
      <c r="DX9" s="14"/>
      <c r="DY9" s="14"/>
      <c r="DZ9" s="14"/>
      <c r="EA9" s="14"/>
      <c r="EB9" s="15"/>
      <c r="EC9" s="13" t="str">
        <f>SIS062_D_Cstsistema7</f>
        <v>CŠT sistema 7</v>
      </c>
      <c r="ED9" s="14"/>
      <c r="EE9" s="14"/>
      <c r="EF9" s="14"/>
      <c r="EG9" s="14"/>
      <c r="EH9" s="14"/>
      <c r="EI9" s="14"/>
      <c r="EJ9" s="14"/>
      <c r="EK9" s="14"/>
      <c r="EL9" s="14"/>
      <c r="EM9" s="14"/>
      <c r="EN9" s="14"/>
      <c r="EO9" s="14"/>
      <c r="EP9" s="14"/>
      <c r="EQ9" s="14"/>
      <c r="ER9" s="14"/>
      <c r="ES9" s="15"/>
      <c r="ET9" s="16" t="s">
        <v>7</v>
      </c>
      <c r="EU9" s="17" t="s">
        <v>8</v>
      </c>
    </row>
    <row r="10" spans="1:151" ht="15.75" customHeight="1" x14ac:dyDescent="0.2">
      <c r="B10" s="18"/>
      <c r="C10" s="19"/>
      <c r="D10" s="19"/>
      <c r="E10" s="19"/>
      <c r="F10" s="19"/>
      <c r="G10" s="20"/>
      <c r="H10" s="21"/>
      <c r="I10" s="22" t="s">
        <v>9</v>
      </c>
      <c r="J10" s="23"/>
      <c r="K10" s="24"/>
      <c r="L10" s="25" t="s">
        <v>10</v>
      </c>
      <c r="M10" s="23"/>
      <c r="N10" s="24"/>
      <c r="O10" s="26" t="s">
        <v>11</v>
      </c>
      <c r="P10" s="25" t="s">
        <v>12</v>
      </c>
      <c r="Q10" s="23"/>
      <c r="R10" s="23"/>
      <c r="S10" s="24"/>
      <c r="T10" s="26" t="s">
        <v>13</v>
      </c>
      <c r="U10" s="25" t="s">
        <v>14</v>
      </c>
      <c r="V10" s="23"/>
      <c r="W10" s="24"/>
      <c r="X10" s="26" t="s">
        <v>15</v>
      </c>
      <c r="Y10" s="25" t="s">
        <v>16</v>
      </c>
      <c r="Z10" s="23"/>
      <c r="AA10" s="24"/>
      <c r="AB10" s="27" t="s">
        <v>17</v>
      </c>
      <c r="AC10" s="28"/>
      <c r="AD10" s="29"/>
      <c r="AE10" s="22" t="s">
        <v>18</v>
      </c>
      <c r="AF10" s="23"/>
      <c r="AG10" s="24"/>
      <c r="AH10" s="25" t="s">
        <v>10</v>
      </c>
      <c r="AI10" s="23"/>
      <c r="AJ10" s="24"/>
      <c r="AK10" s="26" t="s">
        <v>19</v>
      </c>
      <c r="AL10" s="25" t="s">
        <v>12</v>
      </c>
      <c r="AM10" s="23"/>
      <c r="AN10" s="23"/>
      <c r="AO10" s="24"/>
      <c r="AP10" s="26" t="s">
        <v>13</v>
      </c>
      <c r="AQ10" s="25" t="s">
        <v>14</v>
      </c>
      <c r="AR10" s="23"/>
      <c r="AS10" s="24"/>
      <c r="AT10" s="30" t="s">
        <v>15</v>
      </c>
      <c r="AU10" s="31" t="s">
        <v>17</v>
      </c>
      <c r="AV10" s="22" t="s">
        <v>18</v>
      </c>
      <c r="AW10" s="23"/>
      <c r="AX10" s="24"/>
      <c r="AY10" s="25" t="s">
        <v>10</v>
      </c>
      <c r="AZ10" s="23"/>
      <c r="BA10" s="24"/>
      <c r="BB10" s="26" t="s">
        <v>19</v>
      </c>
      <c r="BC10" s="25" t="s">
        <v>12</v>
      </c>
      <c r="BD10" s="23"/>
      <c r="BE10" s="23"/>
      <c r="BF10" s="24"/>
      <c r="BG10" s="26" t="s">
        <v>13</v>
      </c>
      <c r="BH10" s="25" t="s">
        <v>14</v>
      </c>
      <c r="BI10" s="23"/>
      <c r="BJ10" s="24"/>
      <c r="BK10" s="30" t="s">
        <v>15</v>
      </c>
      <c r="BL10" s="31" t="s">
        <v>17</v>
      </c>
      <c r="BM10" s="22" t="s">
        <v>18</v>
      </c>
      <c r="BN10" s="23"/>
      <c r="BO10" s="24"/>
      <c r="BP10" s="25" t="s">
        <v>10</v>
      </c>
      <c r="BQ10" s="23"/>
      <c r="BR10" s="24"/>
      <c r="BS10" s="26" t="s">
        <v>19</v>
      </c>
      <c r="BT10" s="25" t="s">
        <v>12</v>
      </c>
      <c r="BU10" s="23"/>
      <c r="BV10" s="23"/>
      <c r="BW10" s="24"/>
      <c r="BX10" s="26" t="s">
        <v>13</v>
      </c>
      <c r="BY10" s="25" t="s">
        <v>14</v>
      </c>
      <c r="BZ10" s="23"/>
      <c r="CA10" s="24"/>
      <c r="CB10" s="30" t="s">
        <v>15</v>
      </c>
      <c r="CC10" s="31" t="s">
        <v>17</v>
      </c>
      <c r="CD10" s="22" t="s">
        <v>18</v>
      </c>
      <c r="CE10" s="23"/>
      <c r="CF10" s="24"/>
      <c r="CG10" s="25" t="s">
        <v>10</v>
      </c>
      <c r="CH10" s="23"/>
      <c r="CI10" s="24"/>
      <c r="CJ10" s="26" t="s">
        <v>19</v>
      </c>
      <c r="CK10" s="25" t="s">
        <v>12</v>
      </c>
      <c r="CL10" s="23"/>
      <c r="CM10" s="23"/>
      <c r="CN10" s="24"/>
      <c r="CO10" s="26" t="s">
        <v>13</v>
      </c>
      <c r="CP10" s="25" t="s">
        <v>14</v>
      </c>
      <c r="CQ10" s="23"/>
      <c r="CR10" s="24"/>
      <c r="CS10" s="30" t="s">
        <v>15</v>
      </c>
      <c r="CT10" s="31" t="s">
        <v>17</v>
      </c>
      <c r="CU10" s="22" t="s">
        <v>18</v>
      </c>
      <c r="CV10" s="23"/>
      <c r="CW10" s="24"/>
      <c r="CX10" s="25" t="s">
        <v>10</v>
      </c>
      <c r="CY10" s="23"/>
      <c r="CZ10" s="24"/>
      <c r="DA10" s="26" t="s">
        <v>19</v>
      </c>
      <c r="DB10" s="25" t="s">
        <v>12</v>
      </c>
      <c r="DC10" s="23"/>
      <c r="DD10" s="23"/>
      <c r="DE10" s="24"/>
      <c r="DF10" s="26" t="s">
        <v>13</v>
      </c>
      <c r="DG10" s="25" t="s">
        <v>14</v>
      </c>
      <c r="DH10" s="23"/>
      <c r="DI10" s="24"/>
      <c r="DJ10" s="30" t="s">
        <v>15</v>
      </c>
      <c r="DK10" s="31" t="s">
        <v>17</v>
      </c>
      <c r="DL10" s="22" t="s">
        <v>18</v>
      </c>
      <c r="DM10" s="23"/>
      <c r="DN10" s="24"/>
      <c r="DO10" s="25" t="s">
        <v>10</v>
      </c>
      <c r="DP10" s="23"/>
      <c r="DQ10" s="24"/>
      <c r="DR10" s="26" t="s">
        <v>19</v>
      </c>
      <c r="DS10" s="25" t="s">
        <v>12</v>
      </c>
      <c r="DT10" s="23"/>
      <c r="DU10" s="23"/>
      <c r="DV10" s="24"/>
      <c r="DW10" s="26" t="s">
        <v>13</v>
      </c>
      <c r="DX10" s="25" t="s">
        <v>14</v>
      </c>
      <c r="DY10" s="23"/>
      <c r="DZ10" s="24"/>
      <c r="EA10" s="30" t="s">
        <v>15</v>
      </c>
      <c r="EB10" s="31" t="s">
        <v>17</v>
      </c>
      <c r="EC10" s="22" t="s">
        <v>18</v>
      </c>
      <c r="ED10" s="23"/>
      <c r="EE10" s="24"/>
      <c r="EF10" s="25" t="s">
        <v>10</v>
      </c>
      <c r="EG10" s="23"/>
      <c r="EH10" s="24"/>
      <c r="EI10" s="26" t="s">
        <v>19</v>
      </c>
      <c r="EJ10" s="25" t="s">
        <v>12</v>
      </c>
      <c r="EK10" s="23"/>
      <c r="EL10" s="23"/>
      <c r="EM10" s="24"/>
      <c r="EN10" s="26" t="s">
        <v>13</v>
      </c>
      <c r="EO10" s="25" t="s">
        <v>14</v>
      </c>
      <c r="EP10" s="23"/>
      <c r="EQ10" s="24"/>
      <c r="ER10" s="30" t="s">
        <v>15</v>
      </c>
      <c r="ES10" s="31" t="s">
        <v>17</v>
      </c>
      <c r="ET10" s="32"/>
      <c r="EU10" s="33"/>
    </row>
    <row r="11" spans="1:151" ht="15.75" customHeight="1" x14ac:dyDescent="0.2">
      <c r="B11" s="18"/>
      <c r="C11" s="19"/>
      <c r="D11" s="19"/>
      <c r="E11" s="19"/>
      <c r="F11" s="19"/>
      <c r="G11" s="20"/>
      <c r="H11" s="21"/>
      <c r="I11" s="22"/>
      <c r="J11" s="23"/>
      <c r="K11" s="24"/>
      <c r="L11" s="25"/>
      <c r="M11" s="23"/>
      <c r="N11" s="24"/>
      <c r="O11" s="26"/>
      <c r="P11" s="25"/>
      <c r="Q11" s="23"/>
      <c r="R11" s="23"/>
      <c r="S11" s="24"/>
      <c r="T11" s="26"/>
      <c r="U11" s="25"/>
      <c r="V11" s="23"/>
      <c r="W11" s="24"/>
      <c r="X11" s="26"/>
      <c r="Y11" s="25"/>
      <c r="Z11" s="23"/>
      <c r="AA11" s="24"/>
      <c r="AB11" s="25"/>
      <c r="AC11" s="23"/>
      <c r="AD11" s="34"/>
      <c r="AE11" s="22"/>
      <c r="AF11" s="23"/>
      <c r="AG11" s="24"/>
      <c r="AH11" s="25"/>
      <c r="AI11" s="23"/>
      <c r="AJ11" s="24"/>
      <c r="AK11" s="26"/>
      <c r="AL11" s="25"/>
      <c r="AM11" s="23"/>
      <c r="AN11" s="23"/>
      <c r="AO11" s="24"/>
      <c r="AP11" s="26"/>
      <c r="AQ11" s="25"/>
      <c r="AR11" s="23"/>
      <c r="AS11" s="24"/>
      <c r="AT11" s="26"/>
      <c r="AU11" s="35"/>
      <c r="AV11" s="22"/>
      <c r="AW11" s="23"/>
      <c r="AX11" s="24"/>
      <c r="AY11" s="25"/>
      <c r="AZ11" s="23"/>
      <c r="BA11" s="24"/>
      <c r="BB11" s="26"/>
      <c r="BC11" s="25"/>
      <c r="BD11" s="23"/>
      <c r="BE11" s="23"/>
      <c r="BF11" s="24"/>
      <c r="BG11" s="26"/>
      <c r="BH11" s="25"/>
      <c r="BI11" s="23"/>
      <c r="BJ11" s="24"/>
      <c r="BK11" s="26"/>
      <c r="BL11" s="36"/>
      <c r="BM11" s="22"/>
      <c r="BN11" s="23"/>
      <c r="BO11" s="24"/>
      <c r="BP11" s="25"/>
      <c r="BQ11" s="23"/>
      <c r="BR11" s="24"/>
      <c r="BS11" s="26"/>
      <c r="BT11" s="25"/>
      <c r="BU11" s="23"/>
      <c r="BV11" s="23"/>
      <c r="BW11" s="24"/>
      <c r="BX11" s="26"/>
      <c r="BY11" s="25"/>
      <c r="BZ11" s="23"/>
      <c r="CA11" s="24"/>
      <c r="CB11" s="26"/>
      <c r="CC11" s="36"/>
      <c r="CD11" s="22"/>
      <c r="CE11" s="23"/>
      <c r="CF11" s="24"/>
      <c r="CG11" s="25"/>
      <c r="CH11" s="23"/>
      <c r="CI11" s="24"/>
      <c r="CJ11" s="26"/>
      <c r="CK11" s="25"/>
      <c r="CL11" s="23"/>
      <c r="CM11" s="23"/>
      <c r="CN11" s="24"/>
      <c r="CO11" s="26"/>
      <c r="CP11" s="25"/>
      <c r="CQ11" s="23"/>
      <c r="CR11" s="24"/>
      <c r="CS11" s="26"/>
      <c r="CT11" s="36"/>
      <c r="CU11" s="22"/>
      <c r="CV11" s="23"/>
      <c r="CW11" s="24"/>
      <c r="CX11" s="25"/>
      <c r="CY11" s="23"/>
      <c r="CZ11" s="24"/>
      <c r="DA11" s="26"/>
      <c r="DB11" s="25"/>
      <c r="DC11" s="23"/>
      <c r="DD11" s="23"/>
      <c r="DE11" s="24"/>
      <c r="DF11" s="26"/>
      <c r="DG11" s="25"/>
      <c r="DH11" s="23"/>
      <c r="DI11" s="24"/>
      <c r="DJ11" s="26"/>
      <c r="DK11" s="36"/>
      <c r="DL11" s="22"/>
      <c r="DM11" s="23"/>
      <c r="DN11" s="24"/>
      <c r="DO11" s="25"/>
      <c r="DP11" s="23"/>
      <c r="DQ11" s="24"/>
      <c r="DR11" s="26"/>
      <c r="DS11" s="25"/>
      <c r="DT11" s="23"/>
      <c r="DU11" s="23"/>
      <c r="DV11" s="24"/>
      <c r="DW11" s="26"/>
      <c r="DX11" s="25"/>
      <c r="DY11" s="23"/>
      <c r="DZ11" s="24"/>
      <c r="EA11" s="26"/>
      <c r="EB11" s="36"/>
      <c r="EC11" s="22"/>
      <c r="ED11" s="23"/>
      <c r="EE11" s="24"/>
      <c r="EF11" s="25"/>
      <c r="EG11" s="23"/>
      <c r="EH11" s="24"/>
      <c r="EI11" s="26"/>
      <c r="EJ11" s="25"/>
      <c r="EK11" s="23"/>
      <c r="EL11" s="23"/>
      <c r="EM11" s="24"/>
      <c r="EN11" s="26"/>
      <c r="EO11" s="25"/>
      <c r="EP11" s="23"/>
      <c r="EQ11" s="24"/>
      <c r="ER11" s="26"/>
      <c r="ES11" s="36"/>
      <c r="ET11" s="32"/>
      <c r="EU11" s="33"/>
    </row>
    <row r="12" spans="1:151" s="37" customFormat="1" ht="37.5" customHeight="1" x14ac:dyDescent="0.25">
      <c r="B12" s="18"/>
      <c r="C12" s="19"/>
      <c r="D12" s="19"/>
      <c r="E12" s="19"/>
      <c r="F12" s="19"/>
      <c r="G12" s="20"/>
      <c r="H12" s="21"/>
      <c r="I12" s="38"/>
      <c r="J12" s="39"/>
      <c r="K12" s="40"/>
      <c r="L12" s="41"/>
      <c r="M12" s="39"/>
      <c r="N12" s="40"/>
      <c r="O12" s="42"/>
      <c r="P12" s="41"/>
      <c r="Q12" s="39"/>
      <c r="R12" s="39"/>
      <c r="S12" s="40"/>
      <c r="T12" s="42"/>
      <c r="U12" s="41"/>
      <c r="V12" s="39"/>
      <c r="W12" s="40"/>
      <c r="X12" s="42"/>
      <c r="Y12" s="41"/>
      <c r="Z12" s="39"/>
      <c r="AA12" s="40"/>
      <c r="AB12" s="41"/>
      <c r="AC12" s="39"/>
      <c r="AD12" s="43"/>
      <c r="AE12" s="38"/>
      <c r="AF12" s="39"/>
      <c r="AG12" s="40"/>
      <c r="AH12" s="41"/>
      <c r="AI12" s="39"/>
      <c r="AJ12" s="40"/>
      <c r="AK12" s="42"/>
      <c r="AL12" s="41"/>
      <c r="AM12" s="39"/>
      <c r="AN12" s="39"/>
      <c r="AO12" s="40"/>
      <c r="AP12" s="42"/>
      <c r="AQ12" s="41"/>
      <c r="AR12" s="39"/>
      <c r="AS12" s="40"/>
      <c r="AT12" s="42"/>
      <c r="AU12" s="44"/>
      <c r="AV12" s="38"/>
      <c r="AW12" s="39"/>
      <c r="AX12" s="40"/>
      <c r="AY12" s="41"/>
      <c r="AZ12" s="39"/>
      <c r="BA12" s="40"/>
      <c r="BB12" s="42"/>
      <c r="BC12" s="41"/>
      <c r="BD12" s="39"/>
      <c r="BE12" s="39"/>
      <c r="BF12" s="40"/>
      <c r="BG12" s="42"/>
      <c r="BH12" s="41"/>
      <c r="BI12" s="39"/>
      <c r="BJ12" s="40"/>
      <c r="BK12" s="42"/>
      <c r="BL12" s="45"/>
      <c r="BM12" s="38"/>
      <c r="BN12" s="39"/>
      <c r="BO12" s="40"/>
      <c r="BP12" s="41"/>
      <c r="BQ12" s="39"/>
      <c r="BR12" s="40"/>
      <c r="BS12" s="42"/>
      <c r="BT12" s="41"/>
      <c r="BU12" s="39"/>
      <c r="BV12" s="39"/>
      <c r="BW12" s="40"/>
      <c r="BX12" s="42"/>
      <c r="BY12" s="41"/>
      <c r="BZ12" s="39"/>
      <c r="CA12" s="40"/>
      <c r="CB12" s="42"/>
      <c r="CC12" s="45"/>
      <c r="CD12" s="38"/>
      <c r="CE12" s="39"/>
      <c r="CF12" s="40"/>
      <c r="CG12" s="41"/>
      <c r="CH12" s="39"/>
      <c r="CI12" s="40"/>
      <c r="CJ12" s="42"/>
      <c r="CK12" s="41"/>
      <c r="CL12" s="39"/>
      <c r="CM12" s="39"/>
      <c r="CN12" s="40"/>
      <c r="CO12" s="42"/>
      <c r="CP12" s="41"/>
      <c r="CQ12" s="39"/>
      <c r="CR12" s="40"/>
      <c r="CS12" s="42"/>
      <c r="CT12" s="45"/>
      <c r="CU12" s="38"/>
      <c r="CV12" s="39"/>
      <c r="CW12" s="40"/>
      <c r="CX12" s="41"/>
      <c r="CY12" s="39"/>
      <c r="CZ12" s="40"/>
      <c r="DA12" s="42"/>
      <c r="DB12" s="41"/>
      <c r="DC12" s="39"/>
      <c r="DD12" s="39"/>
      <c r="DE12" s="40"/>
      <c r="DF12" s="42"/>
      <c r="DG12" s="41"/>
      <c r="DH12" s="39"/>
      <c r="DI12" s="40"/>
      <c r="DJ12" s="42"/>
      <c r="DK12" s="45"/>
      <c r="DL12" s="38"/>
      <c r="DM12" s="39"/>
      <c r="DN12" s="40"/>
      <c r="DO12" s="41"/>
      <c r="DP12" s="39"/>
      <c r="DQ12" s="40"/>
      <c r="DR12" s="42"/>
      <c r="DS12" s="41"/>
      <c r="DT12" s="39"/>
      <c r="DU12" s="39"/>
      <c r="DV12" s="40"/>
      <c r="DW12" s="42"/>
      <c r="DX12" s="41"/>
      <c r="DY12" s="39"/>
      <c r="DZ12" s="40"/>
      <c r="EA12" s="42"/>
      <c r="EB12" s="45"/>
      <c r="EC12" s="38"/>
      <c r="ED12" s="39"/>
      <c r="EE12" s="40"/>
      <c r="EF12" s="41"/>
      <c r="EG12" s="39"/>
      <c r="EH12" s="40"/>
      <c r="EI12" s="42"/>
      <c r="EJ12" s="41"/>
      <c r="EK12" s="39"/>
      <c r="EL12" s="39"/>
      <c r="EM12" s="40"/>
      <c r="EN12" s="42"/>
      <c r="EO12" s="41"/>
      <c r="EP12" s="39"/>
      <c r="EQ12" s="40"/>
      <c r="ER12" s="42"/>
      <c r="ES12" s="45"/>
      <c r="ET12" s="32"/>
      <c r="EU12" s="33"/>
    </row>
    <row r="13" spans="1:151" s="37" customFormat="1" ht="15.75" customHeight="1" x14ac:dyDescent="0.25">
      <c r="B13" s="18"/>
      <c r="C13" s="19"/>
      <c r="D13" s="19"/>
      <c r="E13" s="19"/>
      <c r="F13" s="19"/>
      <c r="G13" s="20"/>
      <c r="H13" s="21"/>
      <c r="I13" s="46" t="s">
        <v>20</v>
      </c>
      <c r="J13" s="30" t="s">
        <v>21</v>
      </c>
      <c r="K13" s="30" t="str">
        <f>SIS062_D_Paslaugaproduk1</f>
        <v xml:space="preserve">... paslauga (produktas) </v>
      </c>
      <c r="L13" s="30" t="s">
        <v>22</v>
      </c>
      <c r="M13" s="30" t="s">
        <v>23</v>
      </c>
      <c r="N13" s="30" t="str">
        <f>SIS062_D_Paslaugaproduk2</f>
        <v xml:space="preserve">... paslauga (produktas) </v>
      </c>
      <c r="O13" s="30" t="str">
        <f>SIS062_D_Paslaugaproduk3</f>
        <v xml:space="preserve">... paslauga (produktas) </v>
      </c>
      <c r="P13" s="30" t="s">
        <v>24</v>
      </c>
      <c r="Q13" s="30" t="s">
        <v>25</v>
      </c>
      <c r="R13" s="30" t="s">
        <v>26</v>
      </c>
      <c r="S13" s="30" t="str">
        <f>SIS062_D_Paslaugaproduk4</f>
        <v xml:space="preserve">... paslauga (produktas) </v>
      </c>
      <c r="T13" s="30" t="str">
        <f>SIS062_D_Paslaugaproduk5</f>
        <v xml:space="preserve">... paslauga (produktas) </v>
      </c>
      <c r="U13" s="30" t="s">
        <v>27</v>
      </c>
      <c r="V13" s="30" t="s">
        <v>28</v>
      </c>
      <c r="W13" s="30" t="str">
        <f>SIS062_D_Paslaugaproduk6</f>
        <v xml:space="preserve">... paslauga (produktas) </v>
      </c>
      <c r="X13" s="30" t="str">
        <f>SIS062_D_Paslaugaproduk7</f>
        <v xml:space="preserve">... paslauga (produktas) </v>
      </c>
      <c r="Y13" s="30" t="s">
        <v>29</v>
      </c>
      <c r="Z13" s="30" t="s">
        <v>30</v>
      </c>
      <c r="AA13" s="30" t="str">
        <f>SIS062_D_Paslaugaproduk8</f>
        <v xml:space="preserve">... paslauga (produktas) </v>
      </c>
      <c r="AB13" s="30" t="s">
        <v>29</v>
      </c>
      <c r="AC13" s="47" t="s">
        <v>31</v>
      </c>
      <c r="AD13" s="48" t="str">
        <f>SIS062_D_Paslaugaproduk9</f>
        <v xml:space="preserve">... paslauga (produktas) </v>
      </c>
      <c r="AE13" s="46" t="s">
        <v>20</v>
      </c>
      <c r="AF13" s="30" t="s">
        <v>21</v>
      </c>
      <c r="AG13" s="30" t="str">
        <f>SIS062_D_Paslaugaproduk10</f>
        <v xml:space="preserve">... paslauga (produktas) </v>
      </c>
      <c r="AH13" s="30" t="s">
        <v>22</v>
      </c>
      <c r="AI13" s="30" t="s">
        <v>23</v>
      </c>
      <c r="AJ13" s="30" t="str">
        <f>SIS062_D_Paslaugaproduk11</f>
        <v xml:space="preserve">... paslauga (produktas) </v>
      </c>
      <c r="AK13" s="30" t="str">
        <f>SIS062_D_Paslaugaproduk12</f>
        <v xml:space="preserve">... paslauga (produktas) </v>
      </c>
      <c r="AL13" s="30" t="s">
        <v>24</v>
      </c>
      <c r="AM13" s="30" t="s">
        <v>25</v>
      </c>
      <c r="AN13" s="30" t="s">
        <v>26</v>
      </c>
      <c r="AO13" s="30" t="str">
        <f>SIS062_D_Paslaugaproduk13</f>
        <v xml:space="preserve">... paslauga (produktas) </v>
      </c>
      <c r="AP13" s="30" t="str">
        <f>SIS062_D_Paslaugaproduk14</f>
        <v xml:space="preserve">... paslauga (produktas) </v>
      </c>
      <c r="AQ13" s="30" t="s">
        <v>27</v>
      </c>
      <c r="AR13" s="30" t="s">
        <v>28</v>
      </c>
      <c r="AS13" s="30" t="str">
        <f>SIS062_D_Paslaugaproduk15</f>
        <v xml:space="preserve">... paslauga (produktas) </v>
      </c>
      <c r="AT13" s="30" t="str">
        <f>SIS062_D_Paslaugaproduk16</f>
        <v xml:space="preserve">... paslauga (produktas) </v>
      </c>
      <c r="AU13" s="49" t="s">
        <v>31</v>
      </c>
      <c r="AV13" s="46" t="s">
        <v>20</v>
      </c>
      <c r="AW13" s="30" t="s">
        <v>21</v>
      </c>
      <c r="AX13" s="30" t="str">
        <f>SIS062_D_Paslaugaproduk17</f>
        <v xml:space="preserve">... paslauga (produktas) </v>
      </c>
      <c r="AY13" s="30" t="s">
        <v>22</v>
      </c>
      <c r="AZ13" s="30" t="s">
        <v>23</v>
      </c>
      <c r="BA13" s="30" t="str">
        <f>SIS062_D_Paslaugaproduk18</f>
        <v xml:space="preserve">... paslauga (produktas) </v>
      </c>
      <c r="BB13" s="30" t="str">
        <f>SIS062_D_Paslaugaproduk19</f>
        <v xml:space="preserve">... paslauga (produktas) </v>
      </c>
      <c r="BC13" s="30" t="s">
        <v>24</v>
      </c>
      <c r="BD13" s="30" t="s">
        <v>25</v>
      </c>
      <c r="BE13" s="30" t="s">
        <v>26</v>
      </c>
      <c r="BF13" s="30" t="str">
        <f>SIS062_D_Paslaugaproduk20</f>
        <v xml:space="preserve">... paslauga (produktas) </v>
      </c>
      <c r="BG13" s="30" t="str">
        <f>SIS062_D_Paslaugaproduk21</f>
        <v xml:space="preserve">... paslauga (produktas) </v>
      </c>
      <c r="BH13" s="30" t="s">
        <v>27</v>
      </c>
      <c r="BI13" s="30" t="s">
        <v>28</v>
      </c>
      <c r="BJ13" s="30" t="str">
        <f>SIS062_D_Paslaugaproduk22</f>
        <v xml:space="preserve">... paslauga (produktas) </v>
      </c>
      <c r="BK13" s="30" t="str">
        <f>SIS062_D_Paslaugaproduk23</f>
        <v xml:space="preserve">... paslauga (produktas) </v>
      </c>
      <c r="BL13" s="49" t="s">
        <v>31</v>
      </c>
      <c r="BM13" s="46" t="s">
        <v>20</v>
      </c>
      <c r="BN13" s="30" t="s">
        <v>21</v>
      </c>
      <c r="BO13" s="30" t="str">
        <f>SIS062_D_Paslaugaproduk24</f>
        <v xml:space="preserve">... paslauga (produktas) </v>
      </c>
      <c r="BP13" s="30" t="s">
        <v>22</v>
      </c>
      <c r="BQ13" s="30" t="s">
        <v>23</v>
      </c>
      <c r="BR13" s="30" t="str">
        <f>SIS062_D_Paslaugaproduk25</f>
        <v xml:space="preserve">... paslauga (produktas) </v>
      </c>
      <c r="BS13" s="30" t="str">
        <f>SIS062_D_Paslaugaproduk26</f>
        <v xml:space="preserve">... paslauga (produktas) </v>
      </c>
      <c r="BT13" s="30" t="s">
        <v>24</v>
      </c>
      <c r="BU13" s="30" t="s">
        <v>25</v>
      </c>
      <c r="BV13" s="30" t="s">
        <v>26</v>
      </c>
      <c r="BW13" s="30" t="str">
        <f>SIS062_D_Paslaugaproduk27</f>
        <v xml:space="preserve">... paslauga (produktas) </v>
      </c>
      <c r="BX13" s="30" t="str">
        <f>SIS062_D_Paslaugaproduk28</f>
        <v xml:space="preserve">... paslauga (produktas) </v>
      </c>
      <c r="BY13" s="30" t="s">
        <v>27</v>
      </c>
      <c r="BZ13" s="30" t="s">
        <v>28</v>
      </c>
      <c r="CA13" s="30" t="str">
        <f>SIS062_D_Paslaugaproduk29</f>
        <v xml:space="preserve">... paslauga (produktas) </v>
      </c>
      <c r="CB13" s="30" t="str">
        <f>SIS062_D_Paslaugaproduk30</f>
        <v xml:space="preserve">... paslauga (produktas) </v>
      </c>
      <c r="CC13" s="49" t="s">
        <v>31</v>
      </c>
      <c r="CD13" s="46" t="s">
        <v>20</v>
      </c>
      <c r="CE13" s="30" t="s">
        <v>21</v>
      </c>
      <c r="CF13" s="30" t="str">
        <f>SIS062_D_Paslaugaproduk31</f>
        <v xml:space="preserve">... paslauga (produktas) </v>
      </c>
      <c r="CG13" s="30" t="s">
        <v>22</v>
      </c>
      <c r="CH13" s="30" t="s">
        <v>23</v>
      </c>
      <c r="CI13" s="30" t="str">
        <f>SIS062_D_Paslaugaproduk32</f>
        <v xml:space="preserve">... paslauga (produktas) </v>
      </c>
      <c r="CJ13" s="30" t="str">
        <f>SIS062_D_Paslaugaproduk33</f>
        <v xml:space="preserve">... paslauga (produktas) </v>
      </c>
      <c r="CK13" s="30" t="s">
        <v>24</v>
      </c>
      <c r="CL13" s="30" t="s">
        <v>25</v>
      </c>
      <c r="CM13" s="30" t="s">
        <v>26</v>
      </c>
      <c r="CN13" s="30" t="str">
        <f>SIS062_D_Paslaugaproduk34</f>
        <v xml:space="preserve">... paslauga (produktas) </v>
      </c>
      <c r="CO13" s="30" t="str">
        <f>SIS062_D_Paslaugaproduk35</f>
        <v xml:space="preserve">... paslauga (produktas) </v>
      </c>
      <c r="CP13" s="30" t="s">
        <v>27</v>
      </c>
      <c r="CQ13" s="30" t="s">
        <v>28</v>
      </c>
      <c r="CR13" s="30" t="str">
        <f>SIS062_D_Paslaugaproduk36</f>
        <v xml:space="preserve">... paslauga (produktas) </v>
      </c>
      <c r="CS13" s="30" t="str">
        <f>SIS062_D_Paslaugaproduk37</f>
        <v xml:space="preserve">... paslauga (produktas) </v>
      </c>
      <c r="CT13" s="49" t="s">
        <v>31</v>
      </c>
      <c r="CU13" s="46" t="s">
        <v>20</v>
      </c>
      <c r="CV13" s="30" t="s">
        <v>21</v>
      </c>
      <c r="CW13" s="30" t="str">
        <f>SIS062_D_Paslaugaproduk38</f>
        <v xml:space="preserve">... paslauga (produktas) </v>
      </c>
      <c r="CX13" s="30" t="s">
        <v>22</v>
      </c>
      <c r="CY13" s="30" t="s">
        <v>23</v>
      </c>
      <c r="CZ13" s="30" t="str">
        <f>SIS062_D_Paslaugaproduk39</f>
        <v xml:space="preserve">... paslauga (produktas) </v>
      </c>
      <c r="DA13" s="30" t="str">
        <f>SIS062_D_Paslaugaproduk40</f>
        <v xml:space="preserve">... paslauga (produktas) </v>
      </c>
      <c r="DB13" s="30" t="s">
        <v>24</v>
      </c>
      <c r="DC13" s="30" t="s">
        <v>25</v>
      </c>
      <c r="DD13" s="30" t="s">
        <v>26</v>
      </c>
      <c r="DE13" s="30" t="str">
        <f>SIS062_D_Paslaugaproduk41</f>
        <v xml:space="preserve">... paslauga (produktas) </v>
      </c>
      <c r="DF13" s="30" t="str">
        <f>SIS062_D_Paslaugaproduk42</f>
        <v xml:space="preserve">... paslauga (produktas) </v>
      </c>
      <c r="DG13" s="30" t="s">
        <v>27</v>
      </c>
      <c r="DH13" s="30" t="s">
        <v>28</v>
      </c>
      <c r="DI13" s="30" t="str">
        <f>SIS062_D_Paslaugaproduk43</f>
        <v xml:space="preserve">... paslauga (produktas) </v>
      </c>
      <c r="DJ13" s="30" t="str">
        <f>SIS062_D_Paslaugaproduk44</f>
        <v xml:space="preserve">... paslauga (produktas) </v>
      </c>
      <c r="DK13" s="50" t="s">
        <v>31</v>
      </c>
      <c r="DL13" s="46" t="s">
        <v>20</v>
      </c>
      <c r="DM13" s="30" t="s">
        <v>21</v>
      </c>
      <c r="DN13" s="30" t="str">
        <f>SIS062_D_Paslaugaproduk45</f>
        <v xml:space="preserve">... paslauga (produktas) </v>
      </c>
      <c r="DO13" s="30" t="s">
        <v>22</v>
      </c>
      <c r="DP13" s="30" t="s">
        <v>23</v>
      </c>
      <c r="DQ13" s="30" t="str">
        <f>SIS062_D_Paslaugaproduk46</f>
        <v xml:space="preserve">... paslauga (produktas) </v>
      </c>
      <c r="DR13" s="30" t="str">
        <f>SIS062_D_Paslaugaproduk47</f>
        <v xml:space="preserve">... paslauga (produktas) </v>
      </c>
      <c r="DS13" s="30" t="s">
        <v>24</v>
      </c>
      <c r="DT13" s="30" t="s">
        <v>25</v>
      </c>
      <c r="DU13" s="30" t="s">
        <v>26</v>
      </c>
      <c r="DV13" s="30" t="str">
        <f>SIS062_D_Paslaugaproduk48</f>
        <v xml:space="preserve">... paslauga (produktas) </v>
      </c>
      <c r="DW13" s="30" t="str">
        <f>SIS062_D_Paslaugaproduk49</f>
        <v xml:space="preserve">... paslauga (produktas) </v>
      </c>
      <c r="DX13" s="30" t="s">
        <v>27</v>
      </c>
      <c r="DY13" s="30" t="s">
        <v>28</v>
      </c>
      <c r="DZ13" s="30" t="str">
        <f>SIS062_D_Paslaugaproduk50</f>
        <v xml:space="preserve">... paslauga (produktas) </v>
      </c>
      <c r="EA13" s="30" t="str">
        <f>SIS062_D_Paslaugaproduk51</f>
        <v xml:space="preserve">... paslauga (produktas) </v>
      </c>
      <c r="EB13" s="49" t="s">
        <v>31</v>
      </c>
      <c r="EC13" s="46" t="s">
        <v>20</v>
      </c>
      <c r="ED13" s="30" t="s">
        <v>21</v>
      </c>
      <c r="EE13" s="30" t="str">
        <f>SIS062_D_Paslaugaproduk52</f>
        <v xml:space="preserve">... paslauga (produktas) </v>
      </c>
      <c r="EF13" s="30" t="s">
        <v>22</v>
      </c>
      <c r="EG13" s="30" t="s">
        <v>23</v>
      </c>
      <c r="EH13" s="30" t="str">
        <f>SIS062_D_Paslaugaproduk53</f>
        <v xml:space="preserve">... paslauga (produktas) </v>
      </c>
      <c r="EI13" s="30" t="str">
        <f>SIS062_D_Paslaugaproduk54</f>
        <v xml:space="preserve">... paslauga (produktas) </v>
      </c>
      <c r="EJ13" s="30" t="s">
        <v>24</v>
      </c>
      <c r="EK13" s="30" t="s">
        <v>25</v>
      </c>
      <c r="EL13" s="30" t="s">
        <v>26</v>
      </c>
      <c r="EM13" s="30" t="str">
        <f>SIS062_D_Paslaugaproduk55</f>
        <v xml:space="preserve">... paslauga (produktas) </v>
      </c>
      <c r="EN13" s="30" t="str">
        <f>SIS062_D_Paslaugaproduk56</f>
        <v xml:space="preserve">... paslauga (produktas) </v>
      </c>
      <c r="EO13" s="30" t="s">
        <v>27</v>
      </c>
      <c r="EP13" s="30" t="s">
        <v>28</v>
      </c>
      <c r="EQ13" s="30" t="str">
        <f>SIS062_D_Paslaugaproduk57</f>
        <v xml:space="preserve">... paslauga (produktas) </v>
      </c>
      <c r="ER13" s="30" t="str">
        <f>SIS062_D_Paslaugaproduk58</f>
        <v xml:space="preserve">... paslauga (produktas) </v>
      </c>
      <c r="ES13" s="49" t="s">
        <v>31</v>
      </c>
      <c r="ET13" s="32"/>
      <c r="EU13" s="33"/>
    </row>
    <row r="14" spans="1:151" s="37" customFormat="1" ht="15.75" customHeight="1" x14ac:dyDescent="0.25">
      <c r="B14" s="18"/>
      <c r="C14" s="19"/>
      <c r="D14" s="19"/>
      <c r="E14" s="19"/>
      <c r="F14" s="19"/>
      <c r="G14" s="20"/>
      <c r="H14" s="21"/>
      <c r="I14" s="51"/>
      <c r="J14" s="26"/>
      <c r="K14" s="26"/>
      <c r="L14" s="26"/>
      <c r="M14" s="26"/>
      <c r="N14" s="26"/>
      <c r="O14" s="26"/>
      <c r="P14" s="26"/>
      <c r="Q14" s="26"/>
      <c r="R14" s="26"/>
      <c r="S14" s="26"/>
      <c r="T14" s="26"/>
      <c r="U14" s="26"/>
      <c r="V14" s="26"/>
      <c r="W14" s="26"/>
      <c r="X14" s="26"/>
      <c r="Y14" s="26"/>
      <c r="Z14" s="26"/>
      <c r="AA14" s="26"/>
      <c r="AB14" s="26"/>
      <c r="AC14" s="52"/>
      <c r="AD14" s="53"/>
      <c r="AE14" s="51"/>
      <c r="AF14" s="26"/>
      <c r="AG14" s="26"/>
      <c r="AH14" s="26"/>
      <c r="AI14" s="26"/>
      <c r="AJ14" s="26"/>
      <c r="AK14" s="26"/>
      <c r="AL14" s="26"/>
      <c r="AM14" s="26"/>
      <c r="AN14" s="26"/>
      <c r="AO14" s="26"/>
      <c r="AP14" s="26"/>
      <c r="AQ14" s="26"/>
      <c r="AR14" s="26"/>
      <c r="AS14" s="26"/>
      <c r="AT14" s="26"/>
      <c r="AU14" s="36"/>
      <c r="AV14" s="51"/>
      <c r="AW14" s="26"/>
      <c r="AX14" s="26"/>
      <c r="AY14" s="26"/>
      <c r="AZ14" s="26"/>
      <c r="BA14" s="26"/>
      <c r="BB14" s="26"/>
      <c r="BC14" s="26"/>
      <c r="BD14" s="26"/>
      <c r="BE14" s="26"/>
      <c r="BF14" s="26"/>
      <c r="BG14" s="26"/>
      <c r="BH14" s="26"/>
      <c r="BI14" s="26"/>
      <c r="BJ14" s="26"/>
      <c r="BK14" s="26"/>
      <c r="BL14" s="36"/>
      <c r="BM14" s="51"/>
      <c r="BN14" s="26"/>
      <c r="BO14" s="26"/>
      <c r="BP14" s="26"/>
      <c r="BQ14" s="26"/>
      <c r="BR14" s="26"/>
      <c r="BS14" s="26"/>
      <c r="BT14" s="26"/>
      <c r="BU14" s="26"/>
      <c r="BV14" s="26"/>
      <c r="BW14" s="26"/>
      <c r="BX14" s="26"/>
      <c r="BY14" s="26"/>
      <c r="BZ14" s="26"/>
      <c r="CA14" s="26"/>
      <c r="CB14" s="26"/>
      <c r="CC14" s="36"/>
      <c r="CD14" s="51"/>
      <c r="CE14" s="26"/>
      <c r="CF14" s="26"/>
      <c r="CG14" s="26"/>
      <c r="CH14" s="26"/>
      <c r="CI14" s="26"/>
      <c r="CJ14" s="26"/>
      <c r="CK14" s="26"/>
      <c r="CL14" s="26"/>
      <c r="CM14" s="26"/>
      <c r="CN14" s="26"/>
      <c r="CO14" s="26"/>
      <c r="CP14" s="26"/>
      <c r="CQ14" s="26"/>
      <c r="CR14" s="26"/>
      <c r="CS14" s="26"/>
      <c r="CT14" s="36"/>
      <c r="CU14" s="51"/>
      <c r="CV14" s="26"/>
      <c r="CW14" s="26"/>
      <c r="CX14" s="26"/>
      <c r="CY14" s="26"/>
      <c r="CZ14" s="26"/>
      <c r="DA14" s="26"/>
      <c r="DB14" s="26"/>
      <c r="DC14" s="26"/>
      <c r="DD14" s="26"/>
      <c r="DE14" s="26"/>
      <c r="DF14" s="26"/>
      <c r="DG14" s="26"/>
      <c r="DH14" s="26"/>
      <c r="DI14" s="26"/>
      <c r="DJ14" s="26"/>
      <c r="DK14" s="54"/>
      <c r="DL14" s="51"/>
      <c r="DM14" s="26"/>
      <c r="DN14" s="26"/>
      <c r="DO14" s="26"/>
      <c r="DP14" s="26"/>
      <c r="DQ14" s="26"/>
      <c r="DR14" s="26"/>
      <c r="DS14" s="26"/>
      <c r="DT14" s="26"/>
      <c r="DU14" s="26"/>
      <c r="DV14" s="26"/>
      <c r="DW14" s="26"/>
      <c r="DX14" s="26"/>
      <c r="DY14" s="26"/>
      <c r="DZ14" s="26"/>
      <c r="EA14" s="26"/>
      <c r="EB14" s="36"/>
      <c r="EC14" s="51"/>
      <c r="ED14" s="26"/>
      <c r="EE14" s="26"/>
      <c r="EF14" s="26"/>
      <c r="EG14" s="26"/>
      <c r="EH14" s="26"/>
      <c r="EI14" s="26"/>
      <c r="EJ14" s="26"/>
      <c r="EK14" s="26"/>
      <c r="EL14" s="26"/>
      <c r="EM14" s="26"/>
      <c r="EN14" s="26"/>
      <c r="EO14" s="26"/>
      <c r="EP14" s="26"/>
      <c r="EQ14" s="26"/>
      <c r="ER14" s="26"/>
      <c r="ES14" s="36"/>
      <c r="ET14" s="32"/>
      <c r="EU14" s="33"/>
    </row>
    <row r="15" spans="1:151" s="37" customFormat="1" ht="15.75" customHeight="1" x14ac:dyDescent="0.25">
      <c r="B15" s="18"/>
      <c r="C15" s="19"/>
      <c r="D15" s="19"/>
      <c r="E15" s="19"/>
      <c r="F15" s="19"/>
      <c r="G15" s="20"/>
      <c r="H15" s="21"/>
      <c r="I15" s="51"/>
      <c r="J15" s="26"/>
      <c r="K15" s="26"/>
      <c r="L15" s="26"/>
      <c r="M15" s="26"/>
      <c r="N15" s="26"/>
      <c r="O15" s="26"/>
      <c r="P15" s="26"/>
      <c r="Q15" s="26"/>
      <c r="R15" s="26"/>
      <c r="S15" s="26"/>
      <c r="T15" s="26"/>
      <c r="U15" s="26"/>
      <c r="V15" s="26"/>
      <c r="W15" s="26"/>
      <c r="X15" s="26"/>
      <c r="Y15" s="26"/>
      <c r="Z15" s="26"/>
      <c r="AA15" s="26"/>
      <c r="AB15" s="26"/>
      <c r="AC15" s="52"/>
      <c r="AD15" s="53"/>
      <c r="AE15" s="51"/>
      <c r="AF15" s="26"/>
      <c r="AG15" s="26"/>
      <c r="AH15" s="26"/>
      <c r="AI15" s="26"/>
      <c r="AJ15" s="26"/>
      <c r="AK15" s="26"/>
      <c r="AL15" s="26"/>
      <c r="AM15" s="26"/>
      <c r="AN15" s="26"/>
      <c r="AO15" s="26"/>
      <c r="AP15" s="26"/>
      <c r="AQ15" s="26"/>
      <c r="AR15" s="26"/>
      <c r="AS15" s="26"/>
      <c r="AT15" s="26"/>
      <c r="AU15" s="36"/>
      <c r="AV15" s="51"/>
      <c r="AW15" s="26"/>
      <c r="AX15" s="26"/>
      <c r="AY15" s="26"/>
      <c r="AZ15" s="26"/>
      <c r="BA15" s="26"/>
      <c r="BB15" s="26"/>
      <c r="BC15" s="26"/>
      <c r="BD15" s="26"/>
      <c r="BE15" s="26"/>
      <c r="BF15" s="26"/>
      <c r="BG15" s="26"/>
      <c r="BH15" s="26"/>
      <c r="BI15" s="26"/>
      <c r="BJ15" s="26"/>
      <c r="BK15" s="26"/>
      <c r="BL15" s="36"/>
      <c r="BM15" s="51"/>
      <c r="BN15" s="26"/>
      <c r="BO15" s="26"/>
      <c r="BP15" s="26"/>
      <c r="BQ15" s="26"/>
      <c r="BR15" s="26"/>
      <c r="BS15" s="26"/>
      <c r="BT15" s="26"/>
      <c r="BU15" s="26"/>
      <c r="BV15" s="26"/>
      <c r="BW15" s="26"/>
      <c r="BX15" s="26"/>
      <c r="BY15" s="26"/>
      <c r="BZ15" s="26"/>
      <c r="CA15" s="26"/>
      <c r="CB15" s="26"/>
      <c r="CC15" s="36"/>
      <c r="CD15" s="51"/>
      <c r="CE15" s="26"/>
      <c r="CF15" s="26"/>
      <c r="CG15" s="26"/>
      <c r="CH15" s="26"/>
      <c r="CI15" s="26"/>
      <c r="CJ15" s="26"/>
      <c r="CK15" s="26"/>
      <c r="CL15" s="26"/>
      <c r="CM15" s="26"/>
      <c r="CN15" s="26"/>
      <c r="CO15" s="26"/>
      <c r="CP15" s="26"/>
      <c r="CQ15" s="26"/>
      <c r="CR15" s="26"/>
      <c r="CS15" s="26"/>
      <c r="CT15" s="36"/>
      <c r="CU15" s="51"/>
      <c r="CV15" s="26"/>
      <c r="CW15" s="26"/>
      <c r="CX15" s="26"/>
      <c r="CY15" s="26"/>
      <c r="CZ15" s="26"/>
      <c r="DA15" s="26"/>
      <c r="DB15" s="26"/>
      <c r="DC15" s="26"/>
      <c r="DD15" s="26"/>
      <c r="DE15" s="26"/>
      <c r="DF15" s="26"/>
      <c r="DG15" s="26"/>
      <c r="DH15" s="26"/>
      <c r="DI15" s="26"/>
      <c r="DJ15" s="26"/>
      <c r="DK15" s="54"/>
      <c r="DL15" s="51"/>
      <c r="DM15" s="26"/>
      <c r="DN15" s="26"/>
      <c r="DO15" s="26"/>
      <c r="DP15" s="26"/>
      <c r="DQ15" s="26"/>
      <c r="DR15" s="26"/>
      <c r="DS15" s="26"/>
      <c r="DT15" s="26"/>
      <c r="DU15" s="26"/>
      <c r="DV15" s="26"/>
      <c r="DW15" s="26"/>
      <c r="DX15" s="26"/>
      <c r="DY15" s="26"/>
      <c r="DZ15" s="26"/>
      <c r="EA15" s="26"/>
      <c r="EB15" s="36"/>
      <c r="EC15" s="51"/>
      <c r="ED15" s="26"/>
      <c r="EE15" s="26"/>
      <c r="EF15" s="26"/>
      <c r="EG15" s="26"/>
      <c r="EH15" s="26"/>
      <c r="EI15" s="26"/>
      <c r="EJ15" s="26"/>
      <c r="EK15" s="26"/>
      <c r="EL15" s="26"/>
      <c r="EM15" s="26"/>
      <c r="EN15" s="26"/>
      <c r="EO15" s="26"/>
      <c r="EP15" s="26"/>
      <c r="EQ15" s="26"/>
      <c r="ER15" s="26"/>
      <c r="ES15" s="36"/>
      <c r="ET15" s="32"/>
      <c r="EU15" s="33"/>
    </row>
    <row r="16" spans="1:151" s="37" customFormat="1" ht="13.5" customHeight="1" thickBot="1" x14ac:dyDescent="0.3">
      <c r="B16" s="18"/>
      <c r="C16" s="19"/>
      <c r="D16" s="19"/>
      <c r="E16" s="19"/>
      <c r="F16" s="19"/>
      <c r="G16" s="20"/>
      <c r="H16" s="21"/>
      <c r="I16" s="51"/>
      <c r="J16" s="26"/>
      <c r="K16" s="26"/>
      <c r="L16" s="26"/>
      <c r="M16" s="26"/>
      <c r="N16" s="26"/>
      <c r="O16" s="26"/>
      <c r="P16" s="26"/>
      <c r="Q16" s="26"/>
      <c r="R16" s="26"/>
      <c r="S16" s="26"/>
      <c r="T16" s="26"/>
      <c r="U16" s="26"/>
      <c r="V16" s="26"/>
      <c r="W16" s="26"/>
      <c r="X16" s="26"/>
      <c r="Y16" s="26"/>
      <c r="Z16" s="26"/>
      <c r="AA16" s="26"/>
      <c r="AB16" s="26"/>
      <c r="AC16" s="52"/>
      <c r="AD16" s="53"/>
      <c r="AE16" s="51"/>
      <c r="AF16" s="26"/>
      <c r="AG16" s="26"/>
      <c r="AH16" s="26"/>
      <c r="AI16" s="26"/>
      <c r="AJ16" s="26"/>
      <c r="AK16" s="26"/>
      <c r="AL16" s="26"/>
      <c r="AM16" s="26"/>
      <c r="AN16" s="26"/>
      <c r="AO16" s="26"/>
      <c r="AP16" s="26"/>
      <c r="AQ16" s="26"/>
      <c r="AR16" s="26"/>
      <c r="AS16" s="26"/>
      <c r="AT16" s="26"/>
      <c r="AU16" s="36"/>
      <c r="AV16" s="51"/>
      <c r="AW16" s="26"/>
      <c r="AX16" s="26"/>
      <c r="AY16" s="26"/>
      <c r="AZ16" s="26"/>
      <c r="BA16" s="26"/>
      <c r="BB16" s="26"/>
      <c r="BC16" s="26"/>
      <c r="BD16" s="26"/>
      <c r="BE16" s="26"/>
      <c r="BF16" s="26"/>
      <c r="BG16" s="26"/>
      <c r="BH16" s="26"/>
      <c r="BI16" s="26"/>
      <c r="BJ16" s="26"/>
      <c r="BK16" s="26"/>
      <c r="BL16" s="36"/>
      <c r="BM16" s="51"/>
      <c r="BN16" s="26"/>
      <c r="BO16" s="26"/>
      <c r="BP16" s="26"/>
      <c r="BQ16" s="26"/>
      <c r="BR16" s="26"/>
      <c r="BS16" s="26"/>
      <c r="BT16" s="26"/>
      <c r="BU16" s="26"/>
      <c r="BV16" s="26"/>
      <c r="BW16" s="26"/>
      <c r="BX16" s="26"/>
      <c r="BY16" s="26"/>
      <c r="BZ16" s="26"/>
      <c r="CA16" s="26"/>
      <c r="CB16" s="26"/>
      <c r="CC16" s="36"/>
      <c r="CD16" s="51"/>
      <c r="CE16" s="26"/>
      <c r="CF16" s="26"/>
      <c r="CG16" s="26"/>
      <c r="CH16" s="26"/>
      <c r="CI16" s="26"/>
      <c r="CJ16" s="26"/>
      <c r="CK16" s="26"/>
      <c r="CL16" s="26"/>
      <c r="CM16" s="26"/>
      <c r="CN16" s="26"/>
      <c r="CO16" s="26"/>
      <c r="CP16" s="26"/>
      <c r="CQ16" s="26"/>
      <c r="CR16" s="26"/>
      <c r="CS16" s="26"/>
      <c r="CT16" s="36"/>
      <c r="CU16" s="51"/>
      <c r="CV16" s="26"/>
      <c r="CW16" s="26"/>
      <c r="CX16" s="26"/>
      <c r="CY16" s="26"/>
      <c r="CZ16" s="26"/>
      <c r="DA16" s="26"/>
      <c r="DB16" s="26"/>
      <c r="DC16" s="26"/>
      <c r="DD16" s="26"/>
      <c r="DE16" s="26"/>
      <c r="DF16" s="26"/>
      <c r="DG16" s="26"/>
      <c r="DH16" s="26"/>
      <c r="DI16" s="26"/>
      <c r="DJ16" s="26"/>
      <c r="DK16" s="54"/>
      <c r="DL16" s="51"/>
      <c r="DM16" s="26"/>
      <c r="DN16" s="26"/>
      <c r="DO16" s="26"/>
      <c r="DP16" s="26"/>
      <c r="DQ16" s="26"/>
      <c r="DR16" s="26"/>
      <c r="DS16" s="26"/>
      <c r="DT16" s="26"/>
      <c r="DU16" s="26"/>
      <c r="DV16" s="26"/>
      <c r="DW16" s="26"/>
      <c r="DX16" s="26"/>
      <c r="DY16" s="26"/>
      <c r="DZ16" s="26"/>
      <c r="EA16" s="26"/>
      <c r="EB16" s="36"/>
      <c r="EC16" s="51"/>
      <c r="ED16" s="26"/>
      <c r="EE16" s="26"/>
      <c r="EF16" s="26"/>
      <c r="EG16" s="26"/>
      <c r="EH16" s="26"/>
      <c r="EI16" s="26"/>
      <c r="EJ16" s="26"/>
      <c r="EK16" s="26"/>
      <c r="EL16" s="26"/>
      <c r="EM16" s="26"/>
      <c r="EN16" s="26"/>
      <c r="EO16" s="26"/>
      <c r="EP16" s="26"/>
      <c r="EQ16" s="26"/>
      <c r="ER16" s="26"/>
      <c r="ES16" s="36"/>
      <c r="ET16" s="32"/>
      <c r="EU16" s="33"/>
    </row>
    <row r="17" spans="2:151" ht="14.25" customHeight="1" x14ac:dyDescent="0.2">
      <c r="B17" s="55"/>
      <c r="C17" s="56" t="s">
        <v>32</v>
      </c>
      <c r="D17" s="56"/>
      <c r="E17" s="56"/>
      <c r="F17" s="57"/>
      <c r="G17" s="58">
        <f>SUM(G19,G22:G24,AB18,AC18)</f>
        <v>3594165</v>
      </c>
      <c r="H17" s="59">
        <f>SUM(H19:H23)</f>
        <v>0</v>
      </c>
      <c r="I17" s="60">
        <f>SUM(I19,I22:I24)</f>
        <v>1181138</v>
      </c>
      <c r="J17" s="61">
        <f t="shared" ref="J17:BP17" si="0">SUM(J19,J22:J24)</f>
        <v>0</v>
      </c>
      <c r="K17" s="61">
        <f t="shared" si="0"/>
        <v>0</v>
      </c>
      <c r="L17" s="61">
        <f t="shared" si="0"/>
        <v>225648</v>
      </c>
      <c r="M17" s="61">
        <f t="shared" si="0"/>
        <v>0</v>
      </c>
      <c r="N17" s="61">
        <f t="shared" si="0"/>
        <v>0</v>
      </c>
      <c r="O17" s="61">
        <f>SUM(O19,O22:O24)</f>
        <v>32471</v>
      </c>
      <c r="P17" s="61">
        <f t="shared" si="0"/>
        <v>6236</v>
      </c>
      <c r="Q17" s="61">
        <f t="shared" si="0"/>
        <v>0</v>
      </c>
      <c r="R17" s="61">
        <f t="shared" si="0"/>
        <v>2015</v>
      </c>
      <c r="S17" s="61">
        <f t="shared" si="0"/>
        <v>0</v>
      </c>
      <c r="T17" s="61">
        <f t="shared" si="0"/>
        <v>0</v>
      </c>
      <c r="U17" s="61">
        <f t="shared" si="0"/>
        <v>164532</v>
      </c>
      <c r="V17" s="61">
        <f t="shared" si="0"/>
        <v>0</v>
      </c>
      <c r="W17" s="61">
        <f t="shared" si="0"/>
        <v>0</v>
      </c>
      <c r="X17" s="61">
        <f t="shared" si="0"/>
        <v>0</v>
      </c>
      <c r="Y17" s="61">
        <f>SUM(Y19,Y22:Y23)</f>
        <v>0</v>
      </c>
      <c r="Z17" s="61">
        <f t="shared" ref="Z17:AA17" si="1">SUM(Z19,Z22:Z23)</f>
        <v>0</v>
      </c>
      <c r="AA17" s="61">
        <f t="shared" si="1"/>
        <v>0</v>
      </c>
      <c r="AB17" s="61">
        <f t="shared" ref="AB17:AC17" si="2">SUM(AB22:AB23)</f>
        <v>0</v>
      </c>
      <c r="AC17" s="61">
        <f t="shared" si="2"/>
        <v>0</v>
      </c>
      <c r="AD17" s="62">
        <f>SUM(AD22:AD23)</f>
        <v>1982125</v>
      </c>
      <c r="AE17" s="60">
        <f t="shared" si="0"/>
        <v>1181138</v>
      </c>
      <c r="AF17" s="61">
        <f t="shared" si="0"/>
        <v>0</v>
      </c>
      <c r="AG17" s="61">
        <f>SUM(AG19,AG22:AG23)</f>
        <v>0</v>
      </c>
      <c r="AH17" s="61">
        <f t="shared" si="0"/>
        <v>225648</v>
      </c>
      <c r="AI17" s="61">
        <f>SUM(AI19,AI22:AI23)</f>
        <v>0</v>
      </c>
      <c r="AJ17" s="61">
        <f t="shared" ref="AJ17:AS17" si="3">SUM(AJ19,AJ22:AJ23)</f>
        <v>0</v>
      </c>
      <c r="AK17" s="61">
        <f t="shared" si="3"/>
        <v>32471</v>
      </c>
      <c r="AL17" s="61">
        <f t="shared" si="3"/>
        <v>6236</v>
      </c>
      <c r="AM17" s="61">
        <f t="shared" si="3"/>
        <v>0</v>
      </c>
      <c r="AN17" s="61">
        <f t="shared" si="3"/>
        <v>2015</v>
      </c>
      <c r="AO17" s="61">
        <f t="shared" si="3"/>
        <v>0</v>
      </c>
      <c r="AP17" s="61">
        <f t="shared" si="3"/>
        <v>0</v>
      </c>
      <c r="AQ17" s="61">
        <f t="shared" si="3"/>
        <v>164532</v>
      </c>
      <c r="AR17" s="61">
        <f t="shared" si="3"/>
        <v>0</v>
      </c>
      <c r="AS17" s="61">
        <f t="shared" si="3"/>
        <v>0</v>
      </c>
      <c r="AT17" s="61">
        <f>SUM(AT22:AT23)</f>
        <v>0</v>
      </c>
      <c r="AU17" s="62">
        <f>SUM(AU22:AU23)</f>
        <v>0</v>
      </c>
      <c r="AV17" s="60">
        <f t="shared" si="0"/>
        <v>0</v>
      </c>
      <c r="AW17" s="61">
        <f t="shared" si="0"/>
        <v>0</v>
      </c>
      <c r="AX17" s="61">
        <f>SUM(AX19,AX22:AX23)</f>
        <v>0</v>
      </c>
      <c r="AY17" s="61">
        <f t="shared" si="0"/>
        <v>0</v>
      </c>
      <c r="AZ17" s="61">
        <f>SUM(AZ19,AZ22:AZ23)</f>
        <v>0</v>
      </c>
      <c r="BA17" s="61">
        <f t="shared" ref="BA17:BJ17" si="4">SUM(BA19,BA22:BA23)</f>
        <v>0</v>
      </c>
      <c r="BB17" s="61">
        <f t="shared" si="4"/>
        <v>0</v>
      </c>
      <c r="BC17" s="61">
        <f t="shared" si="4"/>
        <v>0</v>
      </c>
      <c r="BD17" s="61">
        <f t="shared" si="4"/>
        <v>0</v>
      </c>
      <c r="BE17" s="61">
        <f t="shared" si="4"/>
        <v>0</v>
      </c>
      <c r="BF17" s="61">
        <f t="shared" si="4"/>
        <v>0</v>
      </c>
      <c r="BG17" s="61">
        <f t="shared" si="4"/>
        <v>0</v>
      </c>
      <c r="BH17" s="61">
        <f t="shared" si="4"/>
        <v>0</v>
      </c>
      <c r="BI17" s="61">
        <f t="shared" si="4"/>
        <v>0</v>
      </c>
      <c r="BJ17" s="61">
        <f t="shared" si="4"/>
        <v>0</v>
      </c>
      <c r="BK17" s="61">
        <f>SUM(BK22:BK23)</f>
        <v>0</v>
      </c>
      <c r="BL17" s="62">
        <f>SUM(BL22:BL23)</f>
        <v>0</v>
      </c>
      <c r="BM17" s="60">
        <f t="shared" si="0"/>
        <v>0</v>
      </c>
      <c r="BN17" s="61">
        <f t="shared" si="0"/>
        <v>0</v>
      </c>
      <c r="BO17" s="61">
        <f>SUM(BO19,BO22:BO23)</f>
        <v>0</v>
      </c>
      <c r="BP17" s="61">
        <f t="shared" si="0"/>
        <v>0</v>
      </c>
      <c r="BQ17" s="61">
        <f>SUM(BQ19,BQ22:BQ23)</f>
        <v>0</v>
      </c>
      <c r="BR17" s="61">
        <f t="shared" ref="BR17:CA17" si="5">SUM(BR19,BR22:BR23)</f>
        <v>0</v>
      </c>
      <c r="BS17" s="61">
        <f t="shared" si="5"/>
        <v>0</v>
      </c>
      <c r="BT17" s="61">
        <f t="shared" si="5"/>
        <v>0</v>
      </c>
      <c r="BU17" s="61">
        <f t="shared" si="5"/>
        <v>0</v>
      </c>
      <c r="BV17" s="61">
        <f t="shared" si="5"/>
        <v>0</v>
      </c>
      <c r="BW17" s="61">
        <f t="shared" si="5"/>
        <v>0</v>
      </c>
      <c r="BX17" s="61">
        <f t="shared" si="5"/>
        <v>0</v>
      </c>
      <c r="BY17" s="61">
        <f t="shared" si="5"/>
        <v>0</v>
      </c>
      <c r="BZ17" s="61">
        <f t="shared" si="5"/>
        <v>0</v>
      </c>
      <c r="CA17" s="61">
        <f t="shared" si="5"/>
        <v>0</v>
      </c>
      <c r="CB17" s="61">
        <f>SUM(CB22:CB23)</f>
        <v>0</v>
      </c>
      <c r="CC17" s="62">
        <f>SUM(CC22:CC23)</f>
        <v>0</v>
      </c>
      <c r="CD17" s="60">
        <f t="shared" ref="CD17:EF17" si="6">SUM(CD19,CD22:CD24)</f>
        <v>0</v>
      </c>
      <c r="CE17" s="61">
        <f t="shared" si="6"/>
        <v>0</v>
      </c>
      <c r="CF17" s="61">
        <f>SUM(CF19,CF22:CF23)</f>
        <v>0</v>
      </c>
      <c r="CG17" s="61">
        <f t="shared" si="6"/>
        <v>0</v>
      </c>
      <c r="CH17" s="61">
        <f>SUM(CH19,CH22:CH23)</f>
        <v>0</v>
      </c>
      <c r="CI17" s="61">
        <f t="shared" ref="CI17:CR17" si="7">SUM(CI19,CI22:CI23)</f>
        <v>0</v>
      </c>
      <c r="CJ17" s="61">
        <f t="shared" si="7"/>
        <v>0</v>
      </c>
      <c r="CK17" s="61">
        <f t="shared" si="7"/>
        <v>0</v>
      </c>
      <c r="CL17" s="61">
        <f t="shared" si="7"/>
        <v>0</v>
      </c>
      <c r="CM17" s="61">
        <f t="shared" si="7"/>
        <v>0</v>
      </c>
      <c r="CN17" s="61">
        <f t="shared" si="7"/>
        <v>0</v>
      </c>
      <c r="CO17" s="61">
        <f t="shared" si="7"/>
        <v>0</v>
      </c>
      <c r="CP17" s="61">
        <f t="shared" si="7"/>
        <v>0</v>
      </c>
      <c r="CQ17" s="61">
        <f t="shared" si="7"/>
        <v>0</v>
      </c>
      <c r="CR17" s="61">
        <f t="shared" si="7"/>
        <v>0</v>
      </c>
      <c r="CS17" s="61">
        <f>SUM(CS22:CS23)</f>
        <v>0</v>
      </c>
      <c r="CT17" s="62">
        <f>SUM(CT22:CT23)</f>
        <v>0</v>
      </c>
      <c r="CU17" s="60">
        <f t="shared" si="6"/>
        <v>0</v>
      </c>
      <c r="CV17" s="61">
        <f t="shared" si="6"/>
        <v>0</v>
      </c>
      <c r="CW17" s="61">
        <f>SUM(CW19,CW22:CW23)</f>
        <v>0</v>
      </c>
      <c r="CX17" s="61">
        <f t="shared" si="6"/>
        <v>0</v>
      </c>
      <c r="CY17" s="61">
        <f>SUM(CY19,CY22:CY23)</f>
        <v>0</v>
      </c>
      <c r="CZ17" s="61">
        <f t="shared" ref="CZ17:DI17" si="8">SUM(CZ19,CZ22:CZ23)</f>
        <v>0</v>
      </c>
      <c r="DA17" s="61">
        <f t="shared" si="8"/>
        <v>0</v>
      </c>
      <c r="DB17" s="61">
        <f t="shared" si="8"/>
        <v>0</v>
      </c>
      <c r="DC17" s="61">
        <f t="shared" si="8"/>
        <v>0</v>
      </c>
      <c r="DD17" s="61">
        <f t="shared" si="8"/>
        <v>0</v>
      </c>
      <c r="DE17" s="61">
        <f t="shared" si="8"/>
        <v>0</v>
      </c>
      <c r="DF17" s="61">
        <f t="shared" si="8"/>
        <v>0</v>
      </c>
      <c r="DG17" s="61">
        <f t="shared" si="8"/>
        <v>0</v>
      </c>
      <c r="DH17" s="61">
        <f t="shared" si="8"/>
        <v>0</v>
      </c>
      <c r="DI17" s="61">
        <f t="shared" si="8"/>
        <v>0</v>
      </c>
      <c r="DJ17" s="61">
        <f>SUM(DJ22:DJ23)</f>
        <v>0</v>
      </c>
      <c r="DK17" s="62">
        <f>SUM(DK22:DK23)</f>
        <v>0</v>
      </c>
      <c r="DL17" s="60">
        <f t="shared" si="6"/>
        <v>0</v>
      </c>
      <c r="DM17" s="61">
        <f t="shared" si="6"/>
        <v>0</v>
      </c>
      <c r="DN17" s="61">
        <f t="shared" si="6"/>
        <v>0</v>
      </c>
      <c r="DO17" s="61">
        <f t="shared" si="6"/>
        <v>0</v>
      </c>
      <c r="DP17" s="61">
        <f t="shared" si="6"/>
        <v>0</v>
      </c>
      <c r="DQ17" s="61">
        <f t="shared" si="6"/>
        <v>0</v>
      </c>
      <c r="DR17" s="61">
        <f t="shared" si="6"/>
        <v>0</v>
      </c>
      <c r="DS17" s="61">
        <f t="shared" si="6"/>
        <v>0</v>
      </c>
      <c r="DT17" s="61">
        <f t="shared" si="6"/>
        <v>0</v>
      </c>
      <c r="DU17" s="61">
        <f t="shared" si="6"/>
        <v>0</v>
      </c>
      <c r="DV17" s="61">
        <f t="shared" si="6"/>
        <v>0</v>
      </c>
      <c r="DW17" s="61">
        <f t="shared" si="6"/>
        <v>0</v>
      </c>
      <c r="DX17" s="61">
        <f t="shared" si="6"/>
        <v>0</v>
      </c>
      <c r="DY17" s="61">
        <f t="shared" si="6"/>
        <v>0</v>
      </c>
      <c r="DZ17" s="61">
        <f t="shared" si="6"/>
        <v>0</v>
      </c>
      <c r="EA17" s="61">
        <f>SUM(EA22:EA23)</f>
        <v>0</v>
      </c>
      <c r="EB17" s="62">
        <f>SUM(EB22:EB23)</f>
        <v>0</v>
      </c>
      <c r="EC17" s="60">
        <f t="shared" si="6"/>
        <v>0</v>
      </c>
      <c r="ED17" s="61">
        <f t="shared" si="6"/>
        <v>0</v>
      </c>
      <c r="EE17" s="61">
        <f>SUM(EE19,EE22:EE23)</f>
        <v>0</v>
      </c>
      <c r="EF17" s="61">
        <f t="shared" si="6"/>
        <v>0</v>
      </c>
      <c r="EG17" s="61">
        <f>SUM(EG19,EG22:EG23)</f>
        <v>0</v>
      </c>
      <c r="EH17" s="61">
        <f t="shared" ref="EH17:EQ17" si="9">SUM(EH19,EH22:EH23)</f>
        <v>0</v>
      </c>
      <c r="EI17" s="61">
        <f t="shared" si="9"/>
        <v>0</v>
      </c>
      <c r="EJ17" s="61">
        <f t="shared" si="9"/>
        <v>0</v>
      </c>
      <c r="EK17" s="61">
        <f t="shared" si="9"/>
        <v>0</v>
      </c>
      <c r="EL17" s="61">
        <f t="shared" si="9"/>
        <v>0</v>
      </c>
      <c r="EM17" s="61">
        <f t="shared" si="9"/>
        <v>0</v>
      </c>
      <c r="EN17" s="61">
        <f t="shared" si="9"/>
        <v>0</v>
      </c>
      <c r="EO17" s="61">
        <f t="shared" si="9"/>
        <v>0</v>
      </c>
      <c r="EP17" s="61">
        <f t="shared" si="9"/>
        <v>0</v>
      </c>
      <c r="EQ17" s="61">
        <f t="shared" si="9"/>
        <v>0</v>
      </c>
      <c r="ER17" s="61">
        <f>SUM(ER22:ER23)</f>
        <v>0</v>
      </c>
      <c r="ES17" s="62">
        <f>SUM(ES22:ES23)</f>
        <v>0</v>
      </c>
      <c r="ET17" s="63" t="s">
        <v>33</v>
      </c>
      <c r="EU17" s="64" t="s">
        <v>34</v>
      </c>
    </row>
    <row r="18" spans="2:151" ht="14.25" customHeight="1" x14ac:dyDescent="0.2">
      <c r="B18" s="65"/>
      <c r="C18" s="66" t="s">
        <v>35</v>
      </c>
      <c r="D18" s="67"/>
      <c r="E18" s="67"/>
      <c r="F18" s="67"/>
      <c r="G18" s="68">
        <f>SUM(I18:J18,Y18,AB18)</f>
        <v>0</v>
      </c>
      <c r="H18" s="69"/>
      <c r="I18" s="70">
        <f t="shared" ref="I18:W23" si="10">SUM(AE18,AV18,BM18,CD18,CU18,DL18,EC18)</f>
        <v>0</v>
      </c>
      <c r="J18" s="71">
        <f t="shared" si="10"/>
        <v>0</v>
      </c>
      <c r="K18" s="71"/>
      <c r="L18" s="71"/>
      <c r="M18" s="71"/>
      <c r="N18" s="71"/>
      <c r="O18" s="71"/>
      <c r="P18" s="71"/>
      <c r="Q18" s="71"/>
      <c r="R18" s="71"/>
      <c r="S18" s="71"/>
      <c r="T18" s="71"/>
      <c r="U18" s="71"/>
      <c r="V18" s="71"/>
      <c r="W18" s="71"/>
      <c r="X18" s="71"/>
      <c r="Y18" s="72"/>
      <c r="Z18" s="71"/>
      <c r="AA18" s="71"/>
      <c r="AB18" s="72"/>
      <c r="AC18" s="72"/>
      <c r="AD18" s="73"/>
      <c r="AE18" s="74"/>
      <c r="AF18" s="72"/>
      <c r="AG18" s="71"/>
      <c r="AH18" s="71"/>
      <c r="AI18" s="71"/>
      <c r="AJ18" s="71"/>
      <c r="AK18" s="71"/>
      <c r="AL18" s="71"/>
      <c r="AM18" s="71"/>
      <c r="AN18" s="71"/>
      <c r="AO18" s="71"/>
      <c r="AP18" s="71"/>
      <c r="AQ18" s="71"/>
      <c r="AR18" s="71"/>
      <c r="AS18" s="71"/>
      <c r="AT18" s="71"/>
      <c r="AU18" s="73"/>
      <c r="AV18" s="74"/>
      <c r="AW18" s="72"/>
      <c r="AX18" s="71"/>
      <c r="AY18" s="71"/>
      <c r="AZ18" s="71"/>
      <c r="BA18" s="71"/>
      <c r="BB18" s="71"/>
      <c r="BC18" s="71"/>
      <c r="BD18" s="71"/>
      <c r="BE18" s="71"/>
      <c r="BF18" s="71"/>
      <c r="BG18" s="71"/>
      <c r="BH18" s="71"/>
      <c r="BI18" s="71"/>
      <c r="BJ18" s="71"/>
      <c r="BK18" s="71"/>
      <c r="BL18" s="73"/>
      <c r="BM18" s="74"/>
      <c r="BN18" s="72"/>
      <c r="BO18" s="71"/>
      <c r="BP18" s="71"/>
      <c r="BQ18" s="71"/>
      <c r="BR18" s="71"/>
      <c r="BS18" s="71"/>
      <c r="BT18" s="71"/>
      <c r="BU18" s="71"/>
      <c r="BV18" s="71"/>
      <c r="BW18" s="71"/>
      <c r="BX18" s="71"/>
      <c r="BY18" s="71"/>
      <c r="BZ18" s="71"/>
      <c r="CA18" s="71"/>
      <c r="CB18" s="71"/>
      <c r="CC18" s="73"/>
      <c r="CD18" s="74"/>
      <c r="CE18" s="72"/>
      <c r="CF18" s="71"/>
      <c r="CG18" s="71"/>
      <c r="CH18" s="71"/>
      <c r="CI18" s="71"/>
      <c r="CJ18" s="71"/>
      <c r="CK18" s="71"/>
      <c r="CL18" s="71"/>
      <c r="CM18" s="71"/>
      <c r="CN18" s="71"/>
      <c r="CO18" s="71"/>
      <c r="CP18" s="71"/>
      <c r="CQ18" s="71"/>
      <c r="CR18" s="71"/>
      <c r="CS18" s="71"/>
      <c r="CT18" s="73"/>
      <c r="CU18" s="74"/>
      <c r="CV18" s="72"/>
      <c r="CW18" s="71"/>
      <c r="CX18" s="71"/>
      <c r="CY18" s="71"/>
      <c r="CZ18" s="71"/>
      <c r="DA18" s="71"/>
      <c r="DB18" s="71"/>
      <c r="DC18" s="71"/>
      <c r="DD18" s="71"/>
      <c r="DE18" s="71"/>
      <c r="DF18" s="71"/>
      <c r="DG18" s="71"/>
      <c r="DH18" s="71"/>
      <c r="DI18" s="71"/>
      <c r="DJ18" s="71"/>
      <c r="DK18" s="73"/>
      <c r="DL18" s="74"/>
      <c r="DM18" s="72"/>
      <c r="DN18" s="71"/>
      <c r="DO18" s="71"/>
      <c r="DP18" s="71"/>
      <c r="DQ18" s="71"/>
      <c r="DR18" s="71"/>
      <c r="DS18" s="71"/>
      <c r="DT18" s="71"/>
      <c r="DU18" s="71"/>
      <c r="DV18" s="71"/>
      <c r="DW18" s="71"/>
      <c r="DX18" s="71"/>
      <c r="DY18" s="71"/>
      <c r="DZ18" s="71"/>
      <c r="EA18" s="71"/>
      <c r="EB18" s="73"/>
      <c r="EC18" s="74"/>
      <c r="ED18" s="72"/>
      <c r="EE18" s="71"/>
      <c r="EF18" s="71"/>
      <c r="EG18" s="71"/>
      <c r="EH18" s="71"/>
      <c r="EI18" s="71"/>
      <c r="EJ18" s="71"/>
      <c r="EK18" s="71"/>
      <c r="EL18" s="71"/>
      <c r="EM18" s="71"/>
      <c r="EN18" s="71"/>
      <c r="EO18" s="71"/>
      <c r="EP18" s="71"/>
      <c r="EQ18" s="71"/>
      <c r="ER18" s="71"/>
      <c r="ES18" s="73"/>
      <c r="ET18" s="75" t="s">
        <v>33</v>
      </c>
      <c r="EU18" s="76"/>
    </row>
    <row r="19" spans="2:151" ht="14.25" customHeight="1" x14ac:dyDescent="0.25">
      <c r="B19" s="65"/>
      <c r="C19" s="77" t="s">
        <v>36</v>
      </c>
      <c r="D19" s="78"/>
      <c r="E19" s="78"/>
      <c r="F19" s="79"/>
      <c r="G19" s="80">
        <f>SUM(I19:W19,Y19:AA19)</f>
        <v>1612040</v>
      </c>
      <c r="H19" s="81"/>
      <c r="I19" s="82">
        <f t="shared" si="10"/>
        <v>1181138</v>
      </c>
      <c r="J19" s="83">
        <f t="shared" si="10"/>
        <v>0</v>
      </c>
      <c r="K19" s="84">
        <f t="shared" si="10"/>
        <v>0</v>
      </c>
      <c r="L19" s="84">
        <f t="shared" si="10"/>
        <v>225648</v>
      </c>
      <c r="M19" s="84">
        <f t="shared" si="10"/>
        <v>0</v>
      </c>
      <c r="N19" s="84">
        <f t="shared" si="10"/>
        <v>0</v>
      </c>
      <c r="O19" s="84">
        <f t="shared" si="10"/>
        <v>32471</v>
      </c>
      <c r="P19" s="84">
        <f t="shared" si="10"/>
        <v>6236</v>
      </c>
      <c r="Q19" s="84">
        <f t="shared" si="10"/>
        <v>0</v>
      </c>
      <c r="R19" s="84">
        <f t="shared" si="10"/>
        <v>2015</v>
      </c>
      <c r="S19" s="84">
        <f t="shared" si="10"/>
        <v>0</v>
      </c>
      <c r="T19" s="84">
        <f t="shared" si="10"/>
        <v>0</v>
      </c>
      <c r="U19" s="84">
        <f t="shared" si="10"/>
        <v>164532</v>
      </c>
      <c r="V19" s="84">
        <f t="shared" si="10"/>
        <v>0</v>
      </c>
      <c r="W19" s="84">
        <f t="shared" si="10"/>
        <v>0</v>
      </c>
      <c r="X19" s="85" t="s">
        <v>33</v>
      </c>
      <c r="Y19" s="86"/>
      <c r="Z19" s="86"/>
      <c r="AA19" s="86"/>
      <c r="AB19" s="85" t="s">
        <v>33</v>
      </c>
      <c r="AC19" s="85" t="s">
        <v>33</v>
      </c>
      <c r="AD19" s="87" t="s">
        <v>33</v>
      </c>
      <c r="AE19" s="88">
        <v>1181138</v>
      </c>
      <c r="AF19" s="89"/>
      <c r="AG19" s="89"/>
      <c r="AH19" s="89">
        <v>225648</v>
      </c>
      <c r="AI19" s="89"/>
      <c r="AJ19" s="89"/>
      <c r="AK19" s="89">
        <v>32471</v>
      </c>
      <c r="AL19" s="89">
        <v>6236</v>
      </c>
      <c r="AM19" s="89"/>
      <c r="AN19" s="89">
        <v>2015</v>
      </c>
      <c r="AO19" s="89"/>
      <c r="AP19" s="89"/>
      <c r="AQ19" s="89">
        <v>164532</v>
      </c>
      <c r="AR19" s="89"/>
      <c r="AS19" s="89"/>
      <c r="AT19" s="85" t="s">
        <v>33</v>
      </c>
      <c r="AU19" s="87" t="s">
        <v>33</v>
      </c>
      <c r="AV19" s="88"/>
      <c r="AW19" s="89"/>
      <c r="AX19" s="89"/>
      <c r="AY19" s="89"/>
      <c r="AZ19" s="89"/>
      <c r="BA19" s="89"/>
      <c r="BB19" s="89"/>
      <c r="BC19" s="89"/>
      <c r="BD19" s="89"/>
      <c r="BE19" s="89"/>
      <c r="BF19" s="89"/>
      <c r="BG19" s="89"/>
      <c r="BH19" s="89"/>
      <c r="BI19" s="89"/>
      <c r="BJ19" s="89"/>
      <c r="BK19" s="85" t="s">
        <v>33</v>
      </c>
      <c r="BL19" s="87" t="s">
        <v>33</v>
      </c>
      <c r="BM19" s="88"/>
      <c r="BN19" s="89"/>
      <c r="BO19" s="89"/>
      <c r="BP19" s="89"/>
      <c r="BQ19" s="89"/>
      <c r="BR19" s="89"/>
      <c r="BS19" s="89"/>
      <c r="BT19" s="89"/>
      <c r="BU19" s="89"/>
      <c r="BV19" s="89"/>
      <c r="BW19" s="89"/>
      <c r="BX19" s="89"/>
      <c r="BY19" s="89"/>
      <c r="BZ19" s="89"/>
      <c r="CA19" s="89"/>
      <c r="CB19" s="85" t="s">
        <v>33</v>
      </c>
      <c r="CC19" s="87" t="s">
        <v>33</v>
      </c>
      <c r="CD19" s="88"/>
      <c r="CE19" s="89"/>
      <c r="CF19" s="89"/>
      <c r="CG19" s="89"/>
      <c r="CH19" s="89"/>
      <c r="CI19" s="89"/>
      <c r="CJ19" s="89"/>
      <c r="CK19" s="89"/>
      <c r="CL19" s="89"/>
      <c r="CM19" s="89"/>
      <c r="CN19" s="89"/>
      <c r="CO19" s="89"/>
      <c r="CP19" s="89"/>
      <c r="CQ19" s="89"/>
      <c r="CR19" s="89"/>
      <c r="CS19" s="85" t="s">
        <v>33</v>
      </c>
      <c r="CT19" s="87" t="s">
        <v>33</v>
      </c>
      <c r="CU19" s="88"/>
      <c r="CV19" s="89"/>
      <c r="CW19" s="89"/>
      <c r="CX19" s="89"/>
      <c r="CY19" s="89"/>
      <c r="CZ19" s="89"/>
      <c r="DA19" s="89"/>
      <c r="DB19" s="89"/>
      <c r="DC19" s="89"/>
      <c r="DD19" s="89"/>
      <c r="DE19" s="89"/>
      <c r="DF19" s="89"/>
      <c r="DG19" s="89"/>
      <c r="DH19" s="89"/>
      <c r="DI19" s="89"/>
      <c r="DJ19" s="85" t="s">
        <v>33</v>
      </c>
      <c r="DK19" s="87" t="s">
        <v>33</v>
      </c>
      <c r="DL19" s="88"/>
      <c r="DM19" s="89"/>
      <c r="DN19" s="89"/>
      <c r="DO19" s="89"/>
      <c r="DP19" s="89"/>
      <c r="DQ19" s="89"/>
      <c r="DR19" s="89"/>
      <c r="DS19" s="89"/>
      <c r="DT19" s="89"/>
      <c r="DU19" s="89"/>
      <c r="DV19" s="89"/>
      <c r="DW19" s="89"/>
      <c r="DX19" s="89"/>
      <c r="DY19" s="89"/>
      <c r="DZ19" s="89"/>
      <c r="EA19" s="85" t="s">
        <v>33</v>
      </c>
      <c r="EB19" s="87" t="s">
        <v>33</v>
      </c>
      <c r="EC19" s="88"/>
      <c r="ED19" s="89"/>
      <c r="EE19" s="89"/>
      <c r="EF19" s="89"/>
      <c r="EG19" s="89"/>
      <c r="EH19" s="89"/>
      <c r="EI19" s="89"/>
      <c r="EJ19" s="89"/>
      <c r="EK19" s="89"/>
      <c r="EL19" s="89"/>
      <c r="EM19" s="89"/>
      <c r="EN19" s="89"/>
      <c r="EO19" s="89"/>
      <c r="EP19" s="89"/>
      <c r="EQ19" s="89"/>
      <c r="ER19" s="85" t="s">
        <v>33</v>
      </c>
      <c r="ES19" s="87" t="s">
        <v>33</v>
      </c>
      <c r="ET19" s="75" t="s">
        <v>33</v>
      </c>
      <c r="EU19" s="76" t="s">
        <v>37</v>
      </c>
    </row>
    <row r="20" spans="2:151" ht="30.75" customHeight="1" x14ac:dyDescent="0.2">
      <c r="B20" s="65"/>
      <c r="C20" s="90" t="s">
        <v>38</v>
      </c>
      <c r="D20" s="91"/>
      <c r="E20" s="91"/>
      <c r="F20" s="92"/>
      <c r="G20" s="80">
        <f t="shared" ref="G20:G21" si="11">SUM(I20:W20,Y20:AA20)</f>
        <v>0</v>
      </c>
      <c r="H20" s="81"/>
      <c r="I20" s="82">
        <f t="shared" si="10"/>
        <v>0</v>
      </c>
      <c r="J20" s="83">
        <f t="shared" si="10"/>
        <v>0</v>
      </c>
      <c r="K20" s="84">
        <f t="shared" si="10"/>
        <v>0</v>
      </c>
      <c r="L20" s="84">
        <f t="shared" si="10"/>
        <v>0</v>
      </c>
      <c r="M20" s="84">
        <f t="shared" si="10"/>
        <v>0</v>
      </c>
      <c r="N20" s="84">
        <f t="shared" si="10"/>
        <v>0</v>
      </c>
      <c r="O20" s="84">
        <f t="shared" si="10"/>
        <v>0</v>
      </c>
      <c r="P20" s="84">
        <f t="shared" si="10"/>
        <v>0</v>
      </c>
      <c r="Q20" s="84">
        <f t="shared" si="10"/>
        <v>0</v>
      </c>
      <c r="R20" s="84">
        <f t="shared" si="10"/>
        <v>0</v>
      </c>
      <c r="S20" s="84">
        <f t="shared" si="10"/>
        <v>0</v>
      </c>
      <c r="T20" s="84">
        <f t="shared" si="10"/>
        <v>0</v>
      </c>
      <c r="U20" s="84">
        <f t="shared" si="10"/>
        <v>0</v>
      </c>
      <c r="V20" s="84">
        <f t="shared" si="10"/>
        <v>0</v>
      </c>
      <c r="W20" s="84">
        <f t="shared" si="10"/>
        <v>0</v>
      </c>
      <c r="X20" s="85" t="s">
        <v>33</v>
      </c>
      <c r="Y20" s="86"/>
      <c r="Z20" s="86"/>
      <c r="AA20" s="86"/>
      <c r="AB20" s="85" t="s">
        <v>33</v>
      </c>
      <c r="AC20" s="85" t="s">
        <v>33</v>
      </c>
      <c r="AD20" s="87" t="s">
        <v>33</v>
      </c>
      <c r="AE20" s="88"/>
      <c r="AF20" s="89"/>
      <c r="AG20" s="89"/>
      <c r="AH20" s="89"/>
      <c r="AI20" s="89"/>
      <c r="AJ20" s="89"/>
      <c r="AK20" s="89"/>
      <c r="AL20" s="89"/>
      <c r="AM20" s="89"/>
      <c r="AN20" s="89"/>
      <c r="AO20" s="89"/>
      <c r="AP20" s="89"/>
      <c r="AQ20" s="89"/>
      <c r="AR20" s="89"/>
      <c r="AS20" s="89"/>
      <c r="AT20" s="85"/>
      <c r="AU20" s="87"/>
      <c r="AV20" s="88"/>
      <c r="AW20" s="89"/>
      <c r="AX20" s="89"/>
      <c r="AY20" s="89"/>
      <c r="AZ20" s="89"/>
      <c r="BA20" s="89"/>
      <c r="BB20" s="89"/>
      <c r="BC20" s="89"/>
      <c r="BD20" s="89"/>
      <c r="BE20" s="89"/>
      <c r="BF20" s="89"/>
      <c r="BG20" s="89"/>
      <c r="BH20" s="89"/>
      <c r="BI20" s="89"/>
      <c r="BJ20" s="89"/>
      <c r="BK20" s="85"/>
      <c r="BL20" s="87"/>
      <c r="BM20" s="88"/>
      <c r="BN20" s="89"/>
      <c r="BO20" s="89"/>
      <c r="BP20" s="89"/>
      <c r="BQ20" s="89"/>
      <c r="BR20" s="89"/>
      <c r="BS20" s="89"/>
      <c r="BT20" s="89"/>
      <c r="BU20" s="89"/>
      <c r="BV20" s="89"/>
      <c r="BW20" s="89"/>
      <c r="BX20" s="89"/>
      <c r="BY20" s="89"/>
      <c r="BZ20" s="89"/>
      <c r="CA20" s="89"/>
      <c r="CB20" s="85"/>
      <c r="CC20" s="87"/>
      <c r="CD20" s="88"/>
      <c r="CE20" s="89"/>
      <c r="CF20" s="89"/>
      <c r="CG20" s="89"/>
      <c r="CH20" s="89"/>
      <c r="CI20" s="89"/>
      <c r="CJ20" s="89"/>
      <c r="CK20" s="89"/>
      <c r="CL20" s="89"/>
      <c r="CM20" s="89"/>
      <c r="CN20" s="89"/>
      <c r="CO20" s="89"/>
      <c r="CP20" s="89"/>
      <c r="CQ20" s="89"/>
      <c r="CR20" s="89"/>
      <c r="CS20" s="85"/>
      <c r="CT20" s="87"/>
      <c r="CU20" s="88"/>
      <c r="CV20" s="89"/>
      <c r="CW20" s="89"/>
      <c r="CX20" s="89"/>
      <c r="CY20" s="89"/>
      <c r="CZ20" s="89"/>
      <c r="DA20" s="89"/>
      <c r="DB20" s="89"/>
      <c r="DC20" s="89"/>
      <c r="DD20" s="89"/>
      <c r="DE20" s="89"/>
      <c r="DF20" s="89"/>
      <c r="DG20" s="89"/>
      <c r="DH20" s="89"/>
      <c r="DI20" s="89"/>
      <c r="DJ20" s="85"/>
      <c r="DK20" s="87"/>
      <c r="DL20" s="88"/>
      <c r="DM20" s="89"/>
      <c r="DN20" s="89"/>
      <c r="DO20" s="89"/>
      <c r="DP20" s="89"/>
      <c r="DQ20" s="89"/>
      <c r="DR20" s="89"/>
      <c r="DS20" s="89"/>
      <c r="DT20" s="89"/>
      <c r="DU20" s="89"/>
      <c r="DV20" s="89"/>
      <c r="DW20" s="89"/>
      <c r="DX20" s="89"/>
      <c r="DY20" s="89"/>
      <c r="DZ20" s="89"/>
      <c r="EA20" s="85"/>
      <c r="EB20" s="87"/>
      <c r="EC20" s="88"/>
      <c r="ED20" s="89"/>
      <c r="EE20" s="89"/>
      <c r="EF20" s="89"/>
      <c r="EG20" s="89"/>
      <c r="EH20" s="89"/>
      <c r="EI20" s="89"/>
      <c r="EJ20" s="89"/>
      <c r="EK20" s="89"/>
      <c r="EL20" s="89"/>
      <c r="EM20" s="89"/>
      <c r="EN20" s="89"/>
      <c r="EO20" s="89"/>
      <c r="EP20" s="89"/>
      <c r="EQ20" s="89"/>
      <c r="ER20" s="85"/>
      <c r="ES20" s="87"/>
      <c r="ET20" s="75"/>
      <c r="EU20" s="76"/>
    </row>
    <row r="21" spans="2:151" ht="33.75" customHeight="1" x14ac:dyDescent="0.2">
      <c r="B21" s="65"/>
      <c r="C21" s="90" t="s">
        <v>39</v>
      </c>
      <c r="D21" s="91"/>
      <c r="E21" s="91"/>
      <c r="F21" s="92"/>
      <c r="G21" s="80">
        <f t="shared" si="11"/>
        <v>0</v>
      </c>
      <c r="H21" s="81"/>
      <c r="I21" s="82">
        <f t="shared" si="10"/>
        <v>0</v>
      </c>
      <c r="J21" s="83">
        <f t="shared" si="10"/>
        <v>0</v>
      </c>
      <c r="K21" s="84">
        <f t="shared" si="10"/>
        <v>0</v>
      </c>
      <c r="L21" s="84">
        <f t="shared" si="10"/>
        <v>0</v>
      </c>
      <c r="M21" s="84">
        <f t="shared" si="10"/>
        <v>0</v>
      </c>
      <c r="N21" s="84">
        <f t="shared" si="10"/>
        <v>0</v>
      </c>
      <c r="O21" s="84">
        <f t="shared" si="10"/>
        <v>0</v>
      </c>
      <c r="P21" s="84">
        <f t="shared" si="10"/>
        <v>0</v>
      </c>
      <c r="Q21" s="84">
        <f t="shared" si="10"/>
        <v>0</v>
      </c>
      <c r="R21" s="84">
        <f t="shared" si="10"/>
        <v>0</v>
      </c>
      <c r="S21" s="84">
        <f t="shared" si="10"/>
        <v>0</v>
      </c>
      <c r="T21" s="84">
        <f t="shared" si="10"/>
        <v>0</v>
      </c>
      <c r="U21" s="84">
        <f t="shared" si="10"/>
        <v>0</v>
      </c>
      <c r="V21" s="84">
        <f t="shared" si="10"/>
        <v>0</v>
      </c>
      <c r="W21" s="84">
        <f t="shared" si="10"/>
        <v>0</v>
      </c>
      <c r="X21" s="85" t="s">
        <v>33</v>
      </c>
      <c r="Y21" s="86"/>
      <c r="Z21" s="86"/>
      <c r="AA21" s="86"/>
      <c r="AB21" s="85" t="s">
        <v>33</v>
      </c>
      <c r="AC21" s="85" t="s">
        <v>33</v>
      </c>
      <c r="AD21" s="87" t="s">
        <v>33</v>
      </c>
      <c r="AE21" s="88"/>
      <c r="AF21" s="89"/>
      <c r="AG21" s="89"/>
      <c r="AH21" s="89"/>
      <c r="AI21" s="89"/>
      <c r="AJ21" s="89"/>
      <c r="AK21" s="89"/>
      <c r="AL21" s="89"/>
      <c r="AM21" s="89"/>
      <c r="AN21" s="89"/>
      <c r="AO21" s="89"/>
      <c r="AP21" s="89"/>
      <c r="AQ21" s="89"/>
      <c r="AR21" s="89"/>
      <c r="AS21" s="89"/>
      <c r="AT21" s="85"/>
      <c r="AU21" s="87"/>
      <c r="AV21" s="88"/>
      <c r="AW21" s="89"/>
      <c r="AX21" s="89"/>
      <c r="AY21" s="89"/>
      <c r="AZ21" s="89"/>
      <c r="BA21" s="89"/>
      <c r="BB21" s="89"/>
      <c r="BC21" s="89"/>
      <c r="BD21" s="89"/>
      <c r="BE21" s="89"/>
      <c r="BF21" s="89"/>
      <c r="BG21" s="89"/>
      <c r="BH21" s="89"/>
      <c r="BI21" s="89"/>
      <c r="BJ21" s="89"/>
      <c r="BK21" s="85"/>
      <c r="BL21" s="87"/>
      <c r="BM21" s="88"/>
      <c r="BN21" s="89"/>
      <c r="BO21" s="89"/>
      <c r="BP21" s="89"/>
      <c r="BQ21" s="89"/>
      <c r="BR21" s="89"/>
      <c r="BS21" s="89"/>
      <c r="BT21" s="89"/>
      <c r="BU21" s="89"/>
      <c r="BV21" s="89"/>
      <c r="BW21" s="89"/>
      <c r="BX21" s="89"/>
      <c r="BY21" s="89"/>
      <c r="BZ21" s="89"/>
      <c r="CA21" s="89"/>
      <c r="CB21" s="85"/>
      <c r="CC21" s="87"/>
      <c r="CD21" s="88"/>
      <c r="CE21" s="89"/>
      <c r="CF21" s="89"/>
      <c r="CG21" s="89"/>
      <c r="CH21" s="89"/>
      <c r="CI21" s="89"/>
      <c r="CJ21" s="89"/>
      <c r="CK21" s="89"/>
      <c r="CL21" s="89"/>
      <c r="CM21" s="89"/>
      <c r="CN21" s="89"/>
      <c r="CO21" s="89"/>
      <c r="CP21" s="89"/>
      <c r="CQ21" s="89"/>
      <c r="CR21" s="89"/>
      <c r="CS21" s="85"/>
      <c r="CT21" s="87"/>
      <c r="CU21" s="88"/>
      <c r="CV21" s="89"/>
      <c r="CW21" s="89"/>
      <c r="CX21" s="89"/>
      <c r="CY21" s="89"/>
      <c r="CZ21" s="89"/>
      <c r="DA21" s="89"/>
      <c r="DB21" s="89"/>
      <c r="DC21" s="89"/>
      <c r="DD21" s="89"/>
      <c r="DE21" s="89"/>
      <c r="DF21" s="89"/>
      <c r="DG21" s="89"/>
      <c r="DH21" s="89"/>
      <c r="DI21" s="89"/>
      <c r="DJ21" s="85"/>
      <c r="DK21" s="87"/>
      <c r="DL21" s="88"/>
      <c r="DM21" s="89"/>
      <c r="DN21" s="89"/>
      <c r="DO21" s="89"/>
      <c r="DP21" s="89"/>
      <c r="DQ21" s="89"/>
      <c r="DR21" s="89"/>
      <c r="DS21" s="89"/>
      <c r="DT21" s="89"/>
      <c r="DU21" s="89"/>
      <c r="DV21" s="89"/>
      <c r="DW21" s="89"/>
      <c r="DX21" s="89"/>
      <c r="DY21" s="89"/>
      <c r="DZ21" s="89"/>
      <c r="EA21" s="85"/>
      <c r="EB21" s="87"/>
      <c r="EC21" s="88"/>
      <c r="ED21" s="89"/>
      <c r="EE21" s="89"/>
      <c r="EF21" s="89"/>
      <c r="EG21" s="89"/>
      <c r="EH21" s="89"/>
      <c r="EI21" s="89"/>
      <c r="EJ21" s="89"/>
      <c r="EK21" s="89"/>
      <c r="EL21" s="89"/>
      <c r="EM21" s="89"/>
      <c r="EN21" s="89"/>
      <c r="EO21" s="89"/>
      <c r="EP21" s="89"/>
      <c r="EQ21" s="89"/>
      <c r="ER21" s="85"/>
      <c r="ES21" s="87"/>
      <c r="ET21" s="75"/>
      <c r="EU21" s="76"/>
    </row>
    <row r="22" spans="2:151" ht="12.75" customHeight="1" x14ac:dyDescent="0.2">
      <c r="B22" s="65"/>
      <c r="C22" s="90" t="s">
        <v>40</v>
      </c>
      <c r="D22" s="91"/>
      <c r="E22" s="91"/>
      <c r="F22" s="92"/>
      <c r="G22" s="80">
        <f>SUM(I22:AD22)</f>
        <v>0</v>
      </c>
      <c r="H22" s="81"/>
      <c r="I22" s="82">
        <f t="shared" si="10"/>
        <v>0</v>
      </c>
      <c r="J22" s="83">
        <f t="shared" si="10"/>
        <v>0</v>
      </c>
      <c r="K22" s="84">
        <f t="shared" si="10"/>
        <v>0</v>
      </c>
      <c r="L22" s="84">
        <f t="shared" si="10"/>
        <v>0</v>
      </c>
      <c r="M22" s="84">
        <f t="shared" si="10"/>
        <v>0</v>
      </c>
      <c r="N22" s="84">
        <f t="shared" si="10"/>
        <v>0</v>
      </c>
      <c r="O22" s="84">
        <f t="shared" si="10"/>
        <v>0</v>
      </c>
      <c r="P22" s="84">
        <f t="shared" si="10"/>
        <v>0</v>
      </c>
      <c r="Q22" s="84">
        <f t="shared" si="10"/>
        <v>0</v>
      </c>
      <c r="R22" s="84">
        <f t="shared" si="10"/>
        <v>0</v>
      </c>
      <c r="S22" s="84">
        <f t="shared" si="10"/>
        <v>0</v>
      </c>
      <c r="T22" s="84">
        <f t="shared" si="10"/>
        <v>0</v>
      </c>
      <c r="U22" s="84">
        <f t="shared" si="10"/>
        <v>0</v>
      </c>
      <c r="V22" s="84">
        <f t="shared" si="10"/>
        <v>0</v>
      </c>
      <c r="W22" s="84">
        <f t="shared" si="10"/>
        <v>0</v>
      </c>
      <c r="X22" s="84">
        <f>SUM(AT22,BK22,CB22,CS22,DJ22,EA22,ER22)</f>
        <v>0</v>
      </c>
      <c r="Y22" s="86"/>
      <c r="Z22" s="86"/>
      <c r="AA22" s="86"/>
      <c r="AB22" s="86"/>
      <c r="AC22" s="86"/>
      <c r="AD22" s="93"/>
      <c r="AE22" s="88"/>
      <c r="AF22" s="89"/>
      <c r="AG22" s="89"/>
      <c r="AH22" s="89"/>
      <c r="AI22" s="89"/>
      <c r="AJ22" s="89"/>
      <c r="AK22" s="89"/>
      <c r="AL22" s="89"/>
      <c r="AM22" s="89"/>
      <c r="AN22" s="89"/>
      <c r="AO22" s="89"/>
      <c r="AP22" s="89"/>
      <c r="AQ22" s="89"/>
      <c r="AR22" s="89"/>
      <c r="AS22" s="89"/>
      <c r="AT22" s="94"/>
      <c r="AU22" s="95"/>
      <c r="AV22" s="88"/>
      <c r="AW22" s="89"/>
      <c r="AX22" s="89"/>
      <c r="AY22" s="89"/>
      <c r="AZ22" s="89"/>
      <c r="BA22" s="89"/>
      <c r="BB22" s="89"/>
      <c r="BC22" s="89"/>
      <c r="BD22" s="89"/>
      <c r="BE22" s="89"/>
      <c r="BF22" s="89"/>
      <c r="BG22" s="89"/>
      <c r="BH22" s="89"/>
      <c r="BI22" s="89"/>
      <c r="BJ22" s="89"/>
      <c r="BK22" s="94"/>
      <c r="BL22" s="95"/>
      <c r="BM22" s="88"/>
      <c r="BN22" s="89"/>
      <c r="BO22" s="89"/>
      <c r="BP22" s="89"/>
      <c r="BQ22" s="89"/>
      <c r="BR22" s="89"/>
      <c r="BS22" s="89"/>
      <c r="BT22" s="89"/>
      <c r="BU22" s="89"/>
      <c r="BV22" s="89"/>
      <c r="BW22" s="89"/>
      <c r="BX22" s="89"/>
      <c r="BY22" s="89"/>
      <c r="BZ22" s="89"/>
      <c r="CA22" s="89"/>
      <c r="CB22" s="94"/>
      <c r="CC22" s="95"/>
      <c r="CD22" s="88"/>
      <c r="CE22" s="89"/>
      <c r="CF22" s="89"/>
      <c r="CG22" s="89"/>
      <c r="CH22" s="89"/>
      <c r="CI22" s="89"/>
      <c r="CJ22" s="89"/>
      <c r="CK22" s="89"/>
      <c r="CL22" s="89"/>
      <c r="CM22" s="89"/>
      <c r="CN22" s="89"/>
      <c r="CO22" s="89"/>
      <c r="CP22" s="89"/>
      <c r="CQ22" s="89"/>
      <c r="CR22" s="89"/>
      <c r="CS22" s="94"/>
      <c r="CT22" s="95"/>
      <c r="CU22" s="88"/>
      <c r="CV22" s="89"/>
      <c r="CW22" s="89"/>
      <c r="CX22" s="89"/>
      <c r="CY22" s="89"/>
      <c r="CZ22" s="89"/>
      <c r="DA22" s="89"/>
      <c r="DB22" s="89"/>
      <c r="DC22" s="89"/>
      <c r="DD22" s="89"/>
      <c r="DE22" s="89"/>
      <c r="DF22" s="89"/>
      <c r="DG22" s="89"/>
      <c r="DH22" s="89"/>
      <c r="DI22" s="89"/>
      <c r="DJ22" s="94"/>
      <c r="DK22" s="95"/>
      <c r="DL22" s="88"/>
      <c r="DM22" s="89"/>
      <c r="DN22" s="89"/>
      <c r="DO22" s="89"/>
      <c r="DP22" s="89"/>
      <c r="DQ22" s="89"/>
      <c r="DR22" s="89"/>
      <c r="DS22" s="89"/>
      <c r="DT22" s="89"/>
      <c r="DU22" s="89"/>
      <c r="DV22" s="89"/>
      <c r="DW22" s="89"/>
      <c r="DX22" s="89"/>
      <c r="DY22" s="89"/>
      <c r="DZ22" s="89"/>
      <c r="EA22" s="94"/>
      <c r="EB22" s="95"/>
      <c r="EC22" s="88"/>
      <c r="ED22" s="89"/>
      <c r="EE22" s="89"/>
      <c r="EF22" s="89"/>
      <c r="EG22" s="89"/>
      <c r="EH22" s="89"/>
      <c r="EI22" s="89"/>
      <c r="EJ22" s="89"/>
      <c r="EK22" s="89"/>
      <c r="EL22" s="89"/>
      <c r="EM22" s="89"/>
      <c r="EN22" s="89"/>
      <c r="EO22" s="89"/>
      <c r="EP22" s="89"/>
      <c r="EQ22" s="89"/>
      <c r="ER22" s="94"/>
      <c r="ES22" s="95"/>
      <c r="ET22" s="75" t="s">
        <v>33</v>
      </c>
      <c r="EU22" s="76" t="s">
        <v>41</v>
      </c>
    </row>
    <row r="23" spans="2:151" ht="14.25" customHeight="1" x14ac:dyDescent="0.2">
      <c r="B23" s="65"/>
      <c r="C23" s="77" t="s">
        <v>42</v>
      </c>
      <c r="D23" s="78"/>
      <c r="E23" s="78"/>
      <c r="F23" s="79"/>
      <c r="G23" s="80">
        <f>SUM(I23:AD23)</f>
        <v>1982125</v>
      </c>
      <c r="H23" s="81"/>
      <c r="I23" s="82">
        <f t="shared" si="10"/>
        <v>0</v>
      </c>
      <c r="J23" s="83">
        <f t="shared" si="10"/>
        <v>0</v>
      </c>
      <c r="K23" s="84">
        <f t="shared" si="10"/>
        <v>0</v>
      </c>
      <c r="L23" s="84">
        <f t="shared" si="10"/>
        <v>0</v>
      </c>
      <c r="M23" s="84">
        <f t="shared" si="10"/>
        <v>0</v>
      </c>
      <c r="N23" s="84">
        <f t="shared" si="10"/>
        <v>0</v>
      </c>
      <c r="O23" s="84">
        <f t="shared" si="10"/>
        <v>0</v>
      </c>
      <c r="P23" s="84">
        <f t="shared" si="10"/>
        <v>0</v>
      </c>
      <c r="Q23" s="84">
        <f t="shared" si="10"/>
        <v>0</v>
      </c>
      <c r="R23" s="84">
        <f t="shared" si="10"/>
        <v>0</v>
      </c>
      <c r="S23" s="84">
        <f t="shared" si="10"/>
        <v>0</v>
      </c>
      <c r="T23" s="84">
        <f t="shared" si="10"/>
        <v>0</v>
      </c>
      <c r="U23" s="84">
        <f t="shared" si="10"/>
        <v>0</v>
      </c>
      <c r="V23" s="84">
        <f t="shared" si="10"/>
        <v>0</v>
      </c>
      <c r="W23" s="84">
        <f t="shared" si="10"/>
        <v>0</v>
      </c>
      <c r="X23" s="84">
        <f>SUM(AT23,BK23,CB23,CS23,DJ23,EA23,ER23)</f>
        <v>0</v>
      </c>
      <c r="Y23" s="86"/>
      <c r="Z23" s="86"/>
      <c r="AA23" s="86"/>
      <c r="AB23" s="86"/>
      <c r="AC23" s="86"/>
      <c r="AD23" s="93">
        <v>1982125</v>
      </c>
      <c r="AE23" s="88"/>
      <c r="AF23" s="89"/>
      <c r="AG23" s="89"/>
      <c r="AH23" s="89"/>
      <c r="AI23" s="89"/>
      <c r="AJ23" s="89"/>
      <c r="AK23" s="89"/>
      <c r="AL23" s="89"/>
      <c r="AM23" s="89"/>
      <c r="AN23" s="89"/>
      <c r="AO23" s="89"/>
      <c r="AP23" s="89"/>
      <c r="AQ23" s="89"/>
      <c r="AR23" s="89"/>
      <c r="AS23" s="89"/>
      <c r="AT23" s="94"/>
      <c r="AU23" s="95"/>
      <c r="AV23" s="88"/>
      <c r="AW23" s="89"/>
      <c r="AX23" s="89"/>
      <c r="AY23" s="89"/>
      <c r="AZ23" s="89"/>
      <c r="BA23" s="89"/>
      <c r="BB23" s="89"/>
      <c r="BC23" s="89"/>
      <c r="BD23" s="89"/>
      <c r="BE23" s="89"/>
      <c r="BF23" s="89"/>
      <c r="BG23" s="89"/>
      <c r="BH23" s="89"/>
      <c r="BI23" s="89"/>
      <c r="BJ23" s="89"/>
      <c r="BK23" s="94"/>
      <c r="BL23" s="95"/>
      <c r="BM23" s="88"/>
      <c r="BN23" s="89"/>
      <c r="BO23" s="89"/>
      <c r="BP23" s="89"/>
      <c r="BQ23" s="89"/>
      <c r="BR23" s="89"/>
      <c r="BS23" s="89"/>
      <c r="BT23" s="89"/>
      <c r="BU23" s="89"/>
      <c r="BV23" s="89"/>
      <c r="BW23" s="89"/>
      <c r="BX23" s="89"/>
      <c r="BY23" s="89"/>
      <c r="BZ23" s="89"/>
      <c r="CA23" s="89"/>
      <c r="CB23" s="94"/>
      <c r="CC23" s="95"/>
      <c r="CD23" s="88"/>
      <c r="CE23" s="89"/>
      <c r="CF23" s="89"/>
      <c r="CG23" s="89"/>
      <c r="CH23" s="89"/>
      <c r="CI23" s="89"/>
      <c r="CJ23" s="89"/>
      <c r="CK23" s="89"/>
      <c r="CL23" s="89"/>
      <c r="CM23" s="89"/>
      <c r="CN23" s="89"/>
      <c r="CO23" s="89"/>
      <c r="CP23" s="89"/>
      <c r="CQ23" s="89"/>
      <c r="CR23" s="89"/>
      <c r="CS23" s="94"/>
      <c r="CT23" s="95"/>
      <c r="CU23" s="88"/>
      <c r="CV23" s="89"/>
      <c r="CW23" s="89"/>
      <c r="CX23" s="89"/>
      <c r="CY23" s="89"/>
      <c r="CZ23" s="89"/>
      <c r="DA23" s="89"/>
      <c r="DB23" s="89"/>
      <c r="DC23" s="89"/>
      <c r="DD23" s="89"/>
      <c r="DE23" s="89"/>
      <c r="DF23" s="89"/>
      <c r="DG23" s="89"/>
      <c r="DH23" s="89"/>
      <c r="DI23" s="89"/>
      <c r="DJ23" s="94"/>
      <c r="DK23" s="95"/>
      <c r="DL23" s="88"/>
      <c r="DM23" s="89"/>
      <c r="DN23" s="89"/>
      <c r="DO23" s="89"/>
      <c r="DP23" s="89"/>
      <c r="DQ23" s="89"/>
      <c r="DR23" s="89"/>
      <c r="DS23" s="89"/>
      <c r="DT23" s="89"/>
      <c r="DU23" s="89"/>
      <c r="DV23" s="89"/>
      <c r="DW23" s="89"/>
      <c r="DX23" s="89"/>
      <c r="DY23" s="89"/>
      <c r="DZ23" s="89"/>
      <c r="EA23" s="94"/>
      <c r="EB23" s="95"/>
      <c r="EC23" s="88"/>
      <c r="ED23" s="89"/>
      <c r="EE23" s="89"/>
      <c r="EF23" s="89"/>
      <c r="EG23" s="89"/>
      <c r="EH23" s="89"/>
      <c r="EI23" s="89"/>
      <c r="EJ23" s="89"/>
      <c r="EK23" s="89"/>
      <c r="EL23" s="89"/>
      <c r="EM23" s="89"/>
      <c r="EN23" s="89"/>
      <c r="EO23" s="89"/>
      <c r="EP23" s="89"/>
      <c r="EQ23" s="89"/>
      <c r="ER23" s="94"/>
      <c r="ES23" s="95"/>
      <c r="ET23" s="75" t="s">
        <v>33</v>
      </c>
      <c r="EU23" s="76" t="s">
        <v>43</v>
      </c>
    </row>
    <row r="24" spans="2:151" ht="14.25" customHeight="1" x14ac:dyDescent="0.25">
      <c r="B24" s="65"/>
      <c r="C24" s="96" t="s">
        <v>44</v>
      </c>
      <c r="D24" s="97"/>
      <c r="E24" s="97"/>
      <c r="F24" s="97"/>
      <c r="G24" s="98">
        <f>SUM(I24,J24,L24)</f>
        <v>0</v>
      </c>
      <c r="H24" s="99"/>
      <c r="I24" s="82">
        <f>SUM(AE24,AV24,BM24,CD24,CU24,DL24,EC24)</f>
        <v>0</v>
      </c>
      <c r="J24" s="100">
        <f>+SUM(AF24,AW24,BN24,CE24,CV24,DM24,ED24)</f>
        <v>0</v>
      </c>
      <c r="K24" s="83"/>
      <c r="L24" s="83">
        <f>SUM(AH24,AY24,BP24,CG24,CX24,DO24,EF24)</f>
        <v>0</v>
      </c>
      <c r="M24" s="83"/>
      <c r="N24" s="83"/>
      <c r="O24" s="83"/>
      <c r="P24" s="83"/>
      <c r="Q24" s="83"/>
      <c r="R24" s="83"/>
      <c r="S24" s="83"/>
      <c r="T24" s="83"/>
      <c r="U24" s="83"/>
      <c r="V24" s="83"/>
      <c r="W24" s="83"/>
      <c r="X24" s="83"/>
      <c r="Y24" s="101"/>
      <c r="Z24" s="101"/>
      <c r="AA24" s="101"/>
      <c r="AB24" s="101"/>
      <c r="AC24" s="101"/>
      <c r="AD24" s="102"/>
      <c r="AE24" s="103"/>
      <c r="AF24" s="104"/>
      <c r="AG24" s="83"/>
      <c r="AH24" s="104"/>
      <c r="AI24" s="83"/>
      <c r="AJ24" s="83"/>
      <c r="AK24" s="83"/>
      <c r="AL24" s="83"/>
      <c r="AM24" s="83"/>
      <c r="AN24" s="83"/>
      <c r="AO24" s="83"/>
      <c r="AP24" s="83"/>
      <c r="AQ24" s="83"/>
      <c r="AR24" s="83"/>
      <c r="AS24" s="83"/>
      <c r="AT24" s="71"/>
      <c r="AU24" s="73"/>
      <c r="AV24" s="103"/>
      <c r="AW24" s="104"/>
      <c r="AX24" s="83"/>
      <c r="AY24" s="104"/>
      <c r="AZ24" s="83"/>
      <c r="BA24" s="83"/>
      <c r="BB24" s="83"/>
      <c r="BC24" s="83"/>
      <c r="BD24" s="83"/>
      <c r="BE24" s="83"/>
      <c r="BF24" s="83"/>
      <c r="BG24" s="83"/>
      <c r="BH24" s="83"/>
      <c r="BI24" s="83"/>
      <c r="BJ24" s="83"/>
      <c r="BK24" s="71"/>
      <c r="BL24" s="73"/>
      <c r="BM24" s="103"/>
      <c r="BN24" s="104"/>
      <c r="BO24" s="83"/>
      <c r="BP24" s="104"/>
      <c r="BQ24" s="83"/>
      <c r="BR24" s="83"/>
      <c r="BS24" s="83"/>
      <c r="BT24" s="83"/>
      <c r="BU24" s="83"/>
      <c r="BV24" s="83"/>
      <c r="BW24" s="83"/>
      <c r="BX24" s="83"/>
      <c r="BY24" s="83"/>
      <c r="BZ24" s="83"/>
      <c r="CA24" s="83"/>
      <c r="CB24" s="71"/>
      <c r="CC24" s="73"/>
      <c r="CD24" s="103"/>
      <c r="CE24" s="104"/>
      <c r="CF24" s="83"/>
      <c r="CG24" s="104"/>
      <c r="CH24" s="83"/>
      <c r="CI24" s="83"/>
      <c r="CJ24" s="83"/>
      <c r="CK24" s="83"/>
      <c r="CL24" s="83"/>
      <c r="CM24" s="83"/>
      <c r="CN24" s="83"/>
      <c r="CO24" s="83"/>
      <c r="CP24" s="83"/>
      <c r="CQ24" s="83"/>
      <c r="CR24" s="83"/>
      <c r="CS24" s="71"/>
      <c r="CT24" s="73"/>
      <c r="CU24" s="103"/>
      <c r="CV24" s="104"/>
      <c r="CW24" s="83"/>
      <c r="CX24" s="104"/>
      <c r="CY24" s="83"/>
      <c r="CZ24" s="83"/>
      <c r="DA24" s="83"/>
      <c r="DB24" s="83"/>
      <c r="DC24" s="83"/>
      <c r="DD24" s="83"/>
      <c r="DE24" s="83"/>
      <c r="DF24" s="83"/>
      <c r="DG24" s="83"/>
      <c r="DH24" s="83"/>
      <c r="DI24" s="83"/>
      <c r="DJ24" s="71"/>
      <c r="DK24" s="73"/>
      <c r="DL24" s="103"/>
      <c r="DM24" s="104"/>
      <c r="DN24" s="83"/>
      <c r="DO24" s="104"/>
      <c r="DP24" s="83"/>
      <c r="DQ24" s="83"/>
      <c r="DR24" s="83"/>
      <c r="DS24" s="83"/>
      <c r="DT24" s="83"/>
      <c r="DU24" s="83"/>
      <c r="DV24" s="83"/>
      <c r="DW24" s="83"/>
      <c r="DX24" s="83"/>
      <c r="DY24" s="83"/>
      <c r="DZ24" s="83"/>
      <c r="EA24" s="71"/>
      <c r="EB24" s="73"/>
      <c r="EC24" s="103"/>
      <c r="ED24" s="104"/>
      <c r="EE24" s="83"/>
      <c r="EF24" s="104"/>
      <c r="EG24" s="83"/>
      <c r="EH24" s="83"/>
      <c r="EI24" s="83"/>
      <c r="EJ24" s="83"/>
      <c r="EK24" s="83"/>
      <c r="EL24" s="83"/>
      <c r="EM24" s="83"/>
      <c r="EN24" s="83"/>
      <c r="EO24" s="83"/>
      <c r="EP24" s="83"/>
      <c r="EQ24" s="83"/>
      <c r="ER24" s="71"/>
      <c r="ES24" s="73"/>
      <c r="ET24" s="75" t="s">
        <v>33</v>
      </c>
      <c r="EU24" s="76" t="s">
        <v>45</v>
      </c>
    </row>
    <row r="25" spans="2:151" ht="14.25" customHeight="1" x14ac:dyDescent="0.2">
      <c r="B25" s="65"/>
      <c r="C25" s="105" t="s">
        <v>46</v>
      </c>
      <c r="D25" s="105"/>
      <c r="E25" s="105"/>
      <c r="F25" s="106"/>
      <c r="G25" s="107">
        <f>SUM(I25:AD25,ET25)</f>
        <v>3385180.9118340029</v>
      </c>
      <c r="H25" s="108"/>
      <c r="I25" s="109">
        <f>SUM(AE25,AV25,BM25,CD25,CU25,DL25,EC25)</f>
        <v>1220919.2200000004</v>
      </c>
      <c r="J25" s="84">
        <f>SUM(AF25,AW25,BN25,CE25,CV25,DM25,ED25)</f>
        <v>0</v>
      </c>
      <c r="K25" s="84">
        <f>SUM(AG25,AX25,BO25,CF25,CW25,DN25,EE25)</f>
        <v>0</v>
      </c>
      <c r="L25" s="84">
        <f>SUM(AH25,AY25,BP25,CG25,CX25,DO25,EF25)</f>
        <v>88564.609999999986</v>
      </c>
      <c r="M25" s="84">
        <f t="shared" ref="M25:X25" si="12">SUM(AI25,AZ25,BQ25,CH25,CY25,DP25,EG25)</f>
        <v>0</v>
      </c>
      <c r="N25" s="84">
        <f t="shared" si="12"/>
        <v>0</v>
      </c>
      <c r="O25" s="84">
        <f t="shared" si="12"/>
        <v>38801.96</v>
      </c>
      <c r="P25" s="84">
        <f t="shared" si="12"/>
        <v>2204.7910000000002</v>
      </c>
      <c r="Q25" s="84">
        <f t="shared" si="12"/>
        <v>0</v>
      </c>
      <c r="R25" s="84">
        <f t="shared" si="12"/>
        <v>283.91100000000006</v>
      </c>
      <c r="S25" s="84">
        <f t="shared" si="12"/>
        <v>0</v>
      </c>
      <c r="T25" s="84">
        <f t="shared" si="12"/>
        <v>0</v>
      </c>
      <c r="U25" s="84">
        <f t="shared" si="12"/>
        <v>97848.03</v>
      </c>
      <c r="V25" s="84">
        <f t="shared" si="12"/>
        <v>0</v>
      </c>
      <c r="W25" s="84">
        <f t="shared" si="12"/>
        <v>0</v>
      </c>
      <c r="X25" s="84">
        <f t="shared" si="12"/>
        <v>0</v>
      </c>
      <c r="Y25" s="101">
        <f>SIS066_F_Isvisotiesiogi2Elektrosenergi1</f>
        <v>0</v>
      </c>
      <c r="Z25" s="101">
        <f>SIS066_F_Isvisotiesiogi2Geriamojovande1</f>
        <v>0</v>
      </c>
      <c r="AA25" s="101">
        <f>SIS066_F_Isvisotiesiogi2Paslaugaproduk8</f>
        <v>0</v>
      </c>
      <c r="AB25" s="101">
        <f>SIS066_F_Isvisotiesiogi2Elektrosenergi2</f>
        <v>0</v>
      </c>
      <c r="AC25" s="101">
        <f>SIS066_F_Isvisotiesiogi2Konkurencinesi1</f>
        <v>0</v>
      </c>
      <c r="AD25" s="102">
        <f>SIS066_F_Isvisotiesiogi2Paslaugaproduk9</f>
        <v>1841816.4598340024</v>
      </c>
      <c r="AE25" s="82">
        <f>SUM(SIS066_F_Isvisotiesiogi2Katiliniuirele3,SIS066_F_Isvisotiesiogi2Kogeneracinese3)</f>
        <v>1220919.2200000004</v>
      </c>
      <c r="AF25" s="83">
        <f>SUM(SIS066_F_Isvisotiesiogi2Katiliniuirele4,SIS066_F_Isvisotiesiogi2Kogeneracinese4)</f>
        <v>0</v>
      </c>
      <c r="AG25" s="83">
        <f>SIS066_F_Isvisotiesiogi2Paslaugaproduk10</f>
        <v>0</v>
      </c>
      <c r="AH25" s="83">
        <f>SIS066_F_Isvisotiesiogi2Silumosperdavi10</f>
        <v>88564.609999999986</v>
      </c>
      <c r="AI25" s="83">
        <f>SIS066_F_Isvisotiesiogi2Balansavimasce2</f>
        <v>0</v>
      </c>
      <c r="AJ25" s="83">
        <f>SIS066_F_Isvisotiesiogi2Paslaugaproduk11</f>
        <v>0</v>
      </c>
      <c r="AK25" s="83">
        <f>SIS066_F_Isvisotiesiogi2Paslaugaproduk12</f>
        <v>38801.96</v>
      </c>
      <c r="AL25" s="83">
        <f>SIS066_F_Isvisotiesiogi2Karstovandenst11</f>
        <v>2204.7910000000002</v>
      </c>
      <c r="AM25" s="83">
        <f>SIS066_F_Isvisotiesiogi2Karstovandenst12</f>
        <v>0</v>
      </c>
      <c r="AN25" s="83">
        <f>SIS066_F_Isvisotiesiogi2Karstovandensa2</f>
        <v>283.91100000000006</v>
      </c>
      <c r="AO25" s="83">
        <f>SIS066_F_Isvisotiesiogi2Paslaugaproduk13</f>
        <v>0</v>
      </c>
      <c r="AP25" s="83">
        <f>SIS066_F_Isvisotiesiogi2Paslaugaproduk14</f>
        <v>0</v>
      </c>
      <c r="AQ25" s="83">
        <f>SIS066_F_Isvisotiesiogi2Pastatusildymo11</f>
        <v>97848.03</v>
      </c>
      <c r="AR25" s="83">
        <f>SIS066_F_Isvisotiesiogi2Pastatusildymo12</f>
        <v>0</v>
      </c>
      <c r="AS25" s="83">
        <f>SIS066_F_Isvisotiesiogi2Paslaugaproduk15</f>
        <v>0</v>
      </c>
      <c r="AT25" s="71">
        <f>SIS066_F_Isvisotiesiogi2Paslaugaproduk16</f>
        <v>0</v>
      </c>
      <c r="AU25" s="73">
        <f>SIS066_F_Isvisotiesiogi2Konkurencinesi2</f>
        <v>0</v>
      </c>
      <c r="AV25" s="82">
        <f>SUM(SIS066_F_Isvisotiesiogi2Katiliniuirele5,SIS066_F_Isvisotiesiogi2Kogeneracinese5)</f>
        <v>0</v>
      </c>
      <c r="AW25" s="83">
        <f>SUM(SIS066_F_Isvisotiesiogi2Katiliniuirele6,SIS066_F_Isvisotiesiogi2Kogeneracinese6)</f>
        <v>0</v>
      </c>
      <c r="AX25" s="83">
        <f>SIS066_F_Isvisotiesiogi2Paslaugaproduk17</f>
        <v>0</v>
      </c>
      <c r="AY25" s="83">
        <f>SIS066_F_Isvisotiesiogi2Silumosperdavi11</f>
        <v>0</v>
      </c>
      <c r="AZ25" s="83">
        <f>SIS066_F_Isvisotiesiogi2Balansavimasce3</f>
        <v>0</v>
      </c>
      <c r="BA25" s="83">
        <f>SIS066_F_Isvisotiesiogi2Paslaugaproduk18</f>
        <v>0</v>
      </c>
      <c r="BB25" s="83">
        <f>SIS066_F_Isvisotiesiogi2Paslaugaproduk19</f>
        <v>0</v>
      </c>
      <c r="BC25" s="83">
        <f>SIS066_F_Isvisotiesiogi2Karstovandenst13</f>
        <v>0</v>
      </c>
      <c r="BD25" s="83">
        <f>SIS066_F_Isvisotiesiogi2Karstovandenst14</f>
        <v>0</v>
      </c>
      <c r="BE25" s="83">
        <f>SIS066_F_Isvisotiesiogi2Karstovandensa3</f>
        <v>0</v>
      </c>
      <c r="BF25" s="83">
        <f>SIS066_F_Isvisotiesiogi2Paslaugaproduk20</f>
        <v>0</v>
      </c>
      <c r="BG25" s="83">
        <f>SIS066_F_Isvisotiesiogi2Paslaugaproduk21</f>
        <v>0</v>
      </c>
      <c r="BH25" s="83">
        <f>SIS066_F_Isvisotiesiogi2Pastatusildymo13</f>
        <v>0</v>
      </c>
      <c r="BI25" s="83">
        <f>SIS066_F_Isvisotiesiogi2Pastatusildymo14</f>
        <v>0</v>
      </c>
      <c r="BJ25" s="83">
        <f>SIS066_F_Isvisotiesiogi2Paslaugaproduk22</f>
        <v>0</v>
      </c>
      <c r="BK25" s="71">
        <f>SIS066_F_Isvisotiesiogi2Paslaugaproduk23</f>
        <v>0</v>
      </c>
      <c r="BL25" s="73">
        <f>SIS066_F_Isvisotiesiogi2Konkurencinesi3</f>
        <v>0</v>
      </c>
      <c r="BM25" s="82">
        <f>SUM(SIS066_F_Isvisotiesiogi2Katiliniuirele7,SIS066_F_Isvisotiesiogi2Kogeneracinese7)</f>
        <v>0</v>
      </c>
      <c r="BN25" s="83">
        <f>SUM(SIS066_F_Isvisotiesiogi2Katiliniuirele8,SIS066_F_Isvisotiesiogi2Kogeneracinese8)</f>
        <v>0</v>
      </c>
      <c r="BO25" s="83">
        <f>SIS066_F_Isvisotiesiogi2Paslaugaproduk24</f>
        <v>0</v>
      </c>
      <c r="BP25" s="83">
        <f>SIS066_F_Isvisotiesiogi2Silumosperdavi12</f>
        <v>0</v>
      </c>
      <c r="BQ25" s="83">
        <f>SIS066_F_Isvisotiesiogi2Balansavimasce4</f>
        <v>0</v>
      </c>
      <c r="BR25" s="83">
        <f>SIS066_F_Isvisotiesiogi2Paslaugaproduk25</f>
        <v>0</v>
      </c>
      <c r="BS25" s="83">
        <f>SIS066_F_Isvisotiesiogi2Paslaugaproduk26</f>
        <v>0</v>
      </c>
      <c r="BT25" s="83">
        <f>SIS066_F_Isvisotiesiogi2Karstovandenst15</f>
        <v>0</v>
      </c>
      <c r="BU25" s="83">
        <f>SIS066_F_Isvisotiesiogi2Karstovandenst16</f>
        <v>0</v>
      </c>
      <c r="BV25" s="83">
        <f>SIS066_F_Isvisotiesiogi2Karstovandensa4</f>
        <v>0</v>
      </c>
      <c r="BW25" s="83">
        <f>SIS066_F_Isvisotiesiogi2Paslaugaproduk27</f>
        <v>0</v>
      </c>
      <c r="BX25" s="83">
        <f>SIS066_F_Isvisotiesiogi2Paslaugaproduk28</f>
        <v>0</v>
      </c>
      <c r="BY25" s="83">
        <f>SIS066_F_Isvisotiesiogi2Pastatusildymo15</f>
        <v>0</v>
      </c>
      <c r="BZ25" s="83">
        <f>SIS066_F_Isvisotiesiogi2Pastatusildymo16</f>
        <v>0</v>
      </c>
      <c r="CA25" s="83">
        <f>SIS066_F_Isvisotiesiogi2Paslaugaproduk29</f>
        <v>0</v>
      </c>
      <c r="CB25" s="71">
        <f>SIS066_F_Isvisotiesiogi2Paslaugaproduk30</f>
        <v>0</v>
      </c>
      <c r="CC25" s="73">
        <f>SIS066_F_Isvisotiesiogi2Konkurencinesi4</f>
        <v>0</v>
      </c>
      <c r="CD25" s="82">
        <f>SUM(SIS066_F_Isvisotiesiogi2Katiliniuirele9,SIS066_F_Isvisotiesiogi2Kogeneracinese9)</f>
        <v>0</v>
      </c>
      <c r="CE25" s="83">
        <f>SUM(SIS066_F_Isvisotiesiogi2Katiliniuirele10,SIS066_F_Isvisotiesiogi2Kogeneracinese10)</f>
        <v>0</v>
      </c>
      <c r="CF25" s="83">
        <f>SIS066_F_Isvisotiesiogi2Paslaugaproduk31</f>
        <v>0</v>
      </c>
      <c r="CG25" s="83">
        <f>SIS066_F_Isvisotiesiogi2Silumosperdavi13</f>
        <v>0</v>
      </c>
      <c r="CH25" s="83">
        <f>SIS066_F_Isvisotiesiogi2Balansavimasce5</f>
        <v>0</v>
      </c>
      <c r="CI25" s="83">
        <f>SIS066_F_Isvisotiesiogi2Paslaugaproduk32</f>
        <v>0</v>
      </c>
      <c r="CJ25" s="83">
        <f>SIS066_F_Isvisotiesiogi2Paslaugaproduk33</f>
        <v>0</v>
      </c>
      <c r="CK25" s="83">
        <f>SIS066_F_Isvisotiesiogi2Karstovandenst17</f>
        <v>0</v>
      </c>
      <c r="CL25" s="83">
        <f>SIS066_F_Isvisotiesiogi2Karstovandenst18</f>
        <v>0</v>
      </c>
      <c r="CM25" s="83">
        <f>SIS066_F_Isvisotiesiogi2Karstovandensa5</f>
        <v>0</v>
      </c>
      <c r="CN25" s="83">
        <f>SIS066_F_Isvisotiesiogi2Paslaugaproduk34</f>
        <v>0</v>
      </c>
      <c r="CO25" s="83">
        <f>SIS066_F_Isvisotiesiogi2Paslaugaproduk35</f>
        <v>0</v>
      </c>
      <c r="CP25" s="83">
        <f>SIS066_F_Isvisotiesiogi2Pastatusildymo17</f>
        <v>0</v>
      </c>
      <c r="CQ25" s="83">
        <f>SIS066_F_Isvisotiesiogi2Pastatusildymo18</f>
        <v>0</v>
      </c>
      <c r="CR25" s="83">
        <f>SIS066_F_Isvisotiesiogi2Paslaugaproduk36</f>
        <v>0</v>
      </c>
      <c r="CS25" s="71">
        <f>SIS066_F_Isvisotiesiogi2Paslaugaproduk37</f>
        <v>0</v>
      </c>
      <c r="CT25" s="73">
        <f>SIS066_F_Isvisotiesiogi2Konkurencinesi6</f>
        <v>0</v>
      </c>
      <c r="CU25" s="82">
        <f>SUM(SIS066_F_Isvisotiesiogi2Katiliniuirele11,SIS066_F_Isvisotiesiogi2Kogeneracinese11)</f>
        <v>0</v>
      </c>
      <c r="CV25" s="83">
        <f>SUM(SIS066_F_Isvisotiesiogi2Katiliniuirele12,SIS066_F_Isvisotiesiogi2Kogeneracinese12)</f>
        <v>0</v>
      </c>
      <c r="CW25" s="83">
        <f>SIS066_F_Isvisotiesiogi2Paslaugaproduk38</f>
        <v>0</v>
      </c>
      <c r="CX25" s="83">
        <f>SIS066_F_Isvisotiesiogi2Silumosperdavi14</f>
        <v>0</v>
      </c>
      <c r="CY25" s="83">
        <f>SIS066_F_Isvisotiesiogi2Balansavimasce6</f>
        <v>0</v>
      </c>
      <c r="CZ25" s="83">
        <f>SIS066_F_Isvisotiesiogi2Paslaugaproduk39</f>
        <v>0</v>
      </c>
      <c r="DA25" s="83">
        <f>SIS066_F_Isvisotiesiogi2Paslaugaproduk40</f>
        <v>0</v>
      </c>
      <c r="DB25" s="83">
        <f>SIS066_F_Isvisotiesiogi2Karstovandenst19</f>
        <v>0</v>
      </c>
      <c r="DC25" s="83">
        <f>SIS066_F_Isvisotiesiogi2Karstovandenst20</f>
        <v>0</v>
      </c>
      <c r="DD25" s="83">
        <f>SIS066_F_Isvisotiesiogi2Karstovandensa6</f>
        <v>0</v>
      </c>
      <c r="DE25" s="83">
        <f>SIS066_F_Isvisotiesiogi2Paslaugaproduk41</f>
        <v>0</v>
      </c>
      <c r="DF25" s="83">
        <f>SIS066_F_Isvisotiesiogi2Paslaugaproduk42</f>
        <v>0</v>
      </c>
      <c r="DG25" s="83">
        <f>SIS066_F_Isvisotiesiogi2Pastatusildymo19</f>
        <v>0</v>
      </c>
      <c r="DH25" s="83">
        <f>SIS066_F_Isvisotiesiogi2Pastatusildymo20</f>
        <v>0</v>
      </c>
      <c r="DI25" s="83">
        <f>SIS066_F_Isvisotiesiogi2Paslaugaproduk43</f>
        <v>0</v>
      </c>
      <c r="DJ25" s="71">
        <f>SIS066_F_Isvisotiesiogi2Paslaugaproduk44</f>
        <v>0</v>
      </c>
      <c r="DK25" s="73">
        <f>SIS066_F_Isvisotiesiogi2Konkurencinesi5</f>
        <v>0</v>
      </c>
      <c r="DL25" s="82">
        <f>SUM(SIS066_F_Isvisotiesiogi2Katiliniuirele13,SIS066_F_Isvisotiesiogi2Kogeneracinese13)</f>
        <v>0</v>
      </c>
      <c r="DM25" s="83">
        <f>SUM(SIS066_F_Isvisotiesiogi2Katiliniuirele14,SIS066_F_Isvisotiesiogi2Kogeneracinese14)</f>
        <v>0</v>
      </c>
      <c r="DN25" s="83">
        <f>SIS066_F_Isvisotiesiogi2Paslaugaproduk45</f>
        <v>0</v>
      </c>
      <c r="DO25" s="83">
        <f>SIS066_F_Isvisotiesiogi2Silumosperdavi15</f>
        <v>0</v>
      </c>
      <c r="DP25" s="83">
        <f>SIS066_F_Isvisotiesiogi2Balansavimasce7</f>
        <v>0</v>
      </c>
      <c r="DQ25" s="83">
        <f>SIS066_F_Isvisotiesiogi2Paslaugaproduk46</f>
        <v>0</v>
      </c>
      <c r="DR25" s="83">
        <f>SIS066_F_Isvisotiesiogi2Paslaugaproduk47</f>
        <v>0</v>
      </c>
      <c r="DS25" s="83">
        <f>SIS066_F_Isvisotiesiogi2Karstovandenst21</f>
        <v>0</v>
      </c>
      <c r="DT25" s="83">
        <f>SIS066_F_Isvisotiesiogi2Karstovandenst22</f>
        <v>0</v>
      </c>
      <c r="DU25" s="83">
        <f>SIS066_F_Isvisotiesiogi2Karstovandensa7</f>
        <v>0</v>
      </c>
      <c r="DV25" s="83">
        <f>SIS066_F_Isvisotiesiogi2Paslaugaproduk48</f>
        <v>0</v>
      </c>
      <c r="DW25" s="83">
        <f>SIS066_F_Isvisotiesiogi2Paslaugaproduk49</f>
        <v>0</v>
      </c>
      <c r="DX25" s="83">
        <f>SIS066_F_Isvisotiesiogi2Pastatusildymo21</f>
        <v>0</v>
      </c>
      <c r="DY25" s="83">
        <f>SIS066_F_Isvisotiesiogi2Pastatusildymo22</f>
        <v>0</v>
      </c>
      <c r="DZ25" s="83">
        <f>SIS066_F_Isvisotiesiogi2Paslaugaproduk50</f>
        <v>0</v>
      </c>
      <c r="EA25" s="71">
        <f>SIS066_F_Isvisotiesiogi2Paslaugaproduk51</f>
        <v>0</v>
      </c>
      <c r="EB25" s="73">
        <f>SIS066_F_Isvisotiesiogi2Konkurencinesi7</f>
        <v>0</v>
      </c>
      <c r="EC25" s="82">
        <f>SUM(SIS066_F_Isvisotiesiogi2Katiliniuirele15,SIS066_F_Isvisotiesiogi2Kogeneracinese15)</f>
        <v>0</v>
      </c>
      <c r="ED25" s="83">
        <f>SUM(SIS066_F_Isvisotiesiogi2Katiliniuirele16,SIS066_F_Isvisotiesiogi2Kogeneracinese16)</f>
        <v>0</v>
      </c>
      <c r="EE25" s="83">
        <f>SIS066_F_Isvisotiesiogi2Paslaugaproduk52</f>
        <v>0</v>
      </c>
      <c r="EF25" s="83">
        <f>SIS066_F_Isvisotiesiogi2Silumosperdavi16</f>
        <v>0</v>
      </c>
      <c r="EG25" s="83">
        <f>SIS066_F_Isvisotiesiogi2Balansavimasce8</f>
        <v>0</v>
      </c>
      <c r="EH25" s="83">
        <f>SIS066_F_Isvisotiesiogi2Paslaugaproduk53</f>
        <v>0</v>
      </c>
      <c r="EI25" s="83">
        <f>SIS066_F_Isvisotiesiogi2Paslaugaproduk54</f>
        <v>0</v>
      </c>
      <c r="EJ25" s="83">
        <f>SIS066_F_Isvisotiesiogi2Karstovandenst23</f>
        <v>0</v>
      </c>
      <c r="EK25" s="83">
        <f>SIS066_F_Isvisotiesiogi2Karstovandenst24</f>
        <v>0</v>
      </c>
      <c r="EL25" s="83">
        <f>SIS066_F_Isvisotiesiogi2Karstovandensa8</f>
        <v>0</v>
      </c>
      <c r="EM25" s="83">
        <f>SIS066_F_Isvisotiesiogi2Paslaugaproduk55</f>
        <v>0</v>
      </c>
      <c r="EN25" s="83">
        <f>SIS066_F_Isvisotiesiogi2Paslaugaproduk56</f>
        <v>0</v>
      </c>
      <c r="EO25" s="83">
        <f>SIS066_F_Isvisotiesiogi2Pastatusildymo23</f>
        <v>0</v>
      </c>
      <c r="EP25" s="83">
        <f>SIS066_F_Isvisotiesiogi2Pastatusildymo24</f>
        <v>0</v>
      </c>
      <c r="EQ25" s="83">
        <f>SIS066_F_Isvisotiesiogi2Paslaugaproduk57</f>
        <v>0</v>
      </c>
      <c r="ER25" s="71">
        <f>SIS066_F_Isvisotiesiogi2Paslaugaproduk58</f>
        <v>0</v>
      </c>
      <c r="ES25" s="73">
        <f>SIS066_F_Isvisotiesiogi2Konkurencinesi8</f>
        <v>0</v>
      </c>
      <c r="ET25" s="110">
        <f>SIS055_F_Isviso1Eur4</f>
        <v>94741.93</v>
      </c>
      <c r="EU25" s="111" t="s">
        <v>47</v>
      </c>
    </row>
    <row r="26" spans="2:151" ht="14.25" customHeight="1" thickBot="1" x14ac:dyDescent="0.25">
      <c r="B26" s="112"/>
      <c r="C26" s="113" t="s">
        <v>48</v>
      </c>
      <c r="D26" s="114"/>
      <c r="E26" s="114"/>
      <c r="F26" s="115"/>
      <c r="G26" s="116">
        <f>G17-G25</f>
        <v>208984.08816599706</v>
      </c>
      <c r="H26" s="117"/>
      <c r="I26" s="118">
        <f t="shared" ref="I26:BW26" si="13">I17-I25</f>
        <v>-39781.220000000438</v>
      </c>
      <c r="J26" s="119">
        <f t="shared" si="13"/>
        <v>0</v>
      </c>
      <c r="K26" s="119">
        <f t="shared" si="13"/>
        <v>0</v>
      </c>
      <c r="L26" s="119">
        <f t="shared" si="13"/>
        <v>137083.39000000001</v>
      </c>
      <c r="M26" s="119">
        <f t="shared" si="13"/>
        <v>0</v>
      </c>
      <c r="N26" s="119">
        <f t="shared" si="13"/>
        <v>0</v>
      </c>
      <c r="O26" s="119">
        <f t="shared" si="13"/>
        <v>-6330.9599999999991</v>
      </c>
      <c r="P26" s="119">
        <f t="shared" si="13"/>
        <v>4031.2089999999998</v>
      </c>
      <c r="Q26" s="119">
        <f t="shared" si="13"/>
        <v>0</v>
      </c>
      <c r="R26" s="120">
        <f t="shared" si="13"/>
        <v>1731.0889999999999</v>
      </c>
      <c r="S26" s="120">
        <f t="shared" si="13"/>
        <v>0</v>
      </c>
      <c r="T26" s="119">
        <f t="shared" si="13"/>
        <v>0</v>
      </c>
      <c r="U26" s="120">
        <f t="shared" si="13"/>
        <v>66683.97</v>
      </c>
      <c r="V26" s="120">
        <f t="shared" si="13"/>
        <v>0</v>
      </c>
      <c r="W26" s="120">
        <f t="shared" si="13"/>
        <v>0</v>
      </c>
      <c r="X26" s="120">
        <f t="shared" si="13"/>
        <v>0</v>
      </c>
      <c r="Y26" s="120">
        <f t="shared" si="13"/>
        <v>0</v>
      </c>
      <c r="Z26" s="120">
        <f t="shared" si="13"/>
        <v>0</v>
      </c>
      <c r="AA26" s="120">
        <f t="shared" si="13"/>
        <v>0</v>
      </c>
      <c r="AB26" s="120">
        <f t="shared" si="13"/>
        <v>0</v>
      </c>
      <c r="AC26" s="120">
        <f t="shared" si="13"/>
        <v>0</v>
      </c>
      <c r="AD26" s="121">
        <f t="shared" si="13"/>
        <v>140308.54016599758</v>
      </c>
      <c r="AE26" s="118">
        <f t="shared" si="13"/>
        <v>-39781.220000000438</v>
      </c>
      <c r="AF26" s="119">
        <f t="shared" si="13"/>
        <v>0</v>
      </c>
      <c r="AG26" s="119">
        <f t="shared" si="13"/>
        <v>0</v>
      </c>
      <c r="AH26" s="119">
        <f t="shared" si="13"/>
        <v>137083.39000000001</v>
      </c>
      <c r="AI26" s="119">
        <f t="shared" si="13"/>
        <v>0</v>
      </c>
      <c r="AJ26" s="119">
        <f t="shared" si="13"/>
        <v>0</v>
      </c>
      <c r="AK26" s="119">
        <f t="shared" si="13"/>
        <v>-6330.9599999999991</v>
      </c>
      <c r="AL26" s="119">
        <f t="shared" si="13"/>
        <v>4031.2089999999998</v>
      </c>
      <c r="AM26" s="119">
        <f t="shared" si="13"/>
        <v>0</v>
      </c>
      <c r="AN26" s="120">
        <f t="shared" si="13"/>
        <v>1731.0889999999999</v>
      </c>
      <c r="AO26" s="120">
        <f t="shared" si="13"/>
        <v>0</v>
      </c>
      <c r="AP26" s="119">
        <f t="shared" si="13"/>
        <v>0</v>
      </c>
      <c r="AQ26" s="120">
        <f t="shared" si="13"/>
        <v>66683.97</v>
      </c>
      <c r="AR26" s="120">
        <f t="shared" si="13"/>
        <v>0</v>
      </c>
      <c r="AS26" s="120">
        <f t="shared" si="13"/>
        <v>0</v>
      </c>
      <c r="AT26" s="120">
        <f t="shared" si="13"/>
        <v>0</v>
      </c>
      <c r="AU26" s="121">
        <f t="shared" si="13"/>
        <v>0</v>
      </c>
      <c r="AV26" s="118">
        <f t="shared" si="13"/>
        <v>0</v>
      </c>
      <c r="AW26" s="119">
        <f t="shared" si="13"/>
        <v>0</v>
      </c>
      <c r="AX26" s="119">
        <f t="shared" si="13"/>
        <v>0</v>
      </c>
      <c r="AY26" s="119">
        <f t="shared" si="13"/>
        <v>0</v>
      </c>
      <c r="AZ26" s="119">
        <f t="shared" si="13"/>
        <v>0</v>
      </c>
      <c r="BA26" s="119">
        <f t="shared" si="13"/>
        <v>0</v>
      </c>
      <c r="BB26" s="119">
        <f t="shared" si="13"/>
        <v>0</v>
      </c>
      <c r="BC26" s="119">
        <f t="shared" si="13"/>
        <v>0</v>
      </c>
      <c r="BD26" s="119">
        <f t="shared" si="13"/>
        <v>0</v>
      </c>
      <c r="BE26" s="120">
        <f t="shared" si="13"/>
        <v>0</v>
      </c>
      <c r="BF26" s="120">
        <f t="shared" si="13"/>
        <v>0</v>
      </c>
      <c r="BG26" s="119">
        <f t="shared" si="13"/>
        <v>0</v>
      </c>
      <c r="BH26" s="120">
        <f t="shared" si="13"/>
        <v>0</v>
      </c>
      <c r="BI26" s="120">
        <f t="shared" si="13"/>
        <v>0</v>
      </c>
      <c r="BJ26" s="120">
        <f t="shared" si="13"/>
        <v>0</v>
      </c>
      <c r="BK26" s="120">
        <f t="shared" si="13"/>
        <v>0</v>
      </c>
      <c r="BL26" s="121">
        <f t="shared" si="13"/>
        <v>0</v>
      </c>
      <c r="BM26" s="118">
        <f t="shared" si="13"/>
        <v>0</v>
      </c>
      <c r="BN26" s="119">
        <f t="shared" si="13"/>
        <v>0</v>
      </c>
      <c r="BO26" s="119">
        <f t="shared" si="13"/>
        <v>0</v>
      </c>
      <c r="BP26" s="119">
        <f t="shared" si="13"/>
        <v>0</v>
      </c>
      <c r="BQ26" s="119">
        <f t="shared" si="13"/>
        <v>0</v>
      </c>
      <c r="BR26" s="119">
        <f t="shared" si="13"/>
        <v>0</v>
      </c>
      <c r="BS26" s="119">
        <f t="shared" si="13"/>
        <v>0</v>
      </c>
      <c r="BT26" s="119">
        <f t="shared" si="13"/>
        <v>0</v>
      </c>
      <c r="BU26" s="119">
        <f t="shared" si="13"/>
        <v>0</v>
      </c>
      <c r="BV26" s="120">
        <f t="shared" si="13"/>
        <v>0</v>
      </c>
      <c r="BW26" s="120">
        <f t="shared" si="13"/>
        <v>0</v>
      </c>
      <c r="BX26" s="119">
        <f t="shared" ref="BX26:EM26" si="14">BX17-BX25</f>
        <v>0</v>
      </c>
      <c r="BY26" s="120">
        <f t="shared" si="14"/>
        <v>0</v>
      </c>
      <c r="BZ26" s="120">
        <f t="shared" si="14"/>
        <v>0</v>
      </c>
      <c r="CA26" s="120">
        <f t="shared" si="14"/>
        <v>0</v>
      </c>
      <c r="CB26" s="120">
        <f t="shared" si="14"/>
        <v>0</v>
      </c>
      <c r="CC26" s="121">
        <f t="shared" si="14"/>
        <v>0</v>
      </c>
      <c r="CD26" s="118">
        <f t="shared" si="14"/>
        <v>0</v>
      </c>
      <c r="CE26" s="119">
        <f t="shared" si="14"/>
        <v>0</v>
      </c>
      <c r="CF26" s="119">
        <f t="shared" si="14"/>
        <v>0</v>
      </c>
      <c r="CG26" s="119">
        <f t="shared" si="14"/>
        <v>0</v>
      </c>
      <c r="CH26" s="119">
        <f t="shared" si="14"/>
        <v>0</v>
      </c>
      <c r="CI26" s="119">
        <f t="shared" si="14"/>
        <v>0</v>
      </c>
      <c r="CJ26" s="119">
        <f t="shared" si="14"/>
        <v>0</v>
      </c>
      <c r="CK26" s="119">
        <f t="shared" si="14"/>
        <v>0</v>
      </c>
      <c r="CL26" s="119">
        <f t="shared" si="14"/>
        <v>0</v>
      </c>
      <c r="CM26" s="120">
        <f t="shared" si="14"/>
        <v>0</v>
      </c>
      <c r="CN26" s="120">
        <f t="shared" si="14"/>
        <v>0</v>
      </c>
      <c r="CO26" s="119">
        <f t="shared" si="14"/>
        <v>0</v>
      </c>
      <c r="CP26" s="120">
        <f t="shared" si="14"/>
        <v>0</v>
      </c>
      <c r="CQ26" s="120">
        <f t="shared" si="14"/>
        <v>0</v>
      </c>
      <c r="CR26" s="120">
        <f t="shared" si="14"/>
        <v>0</v>
      </c>
      <c r="CS26" s="120">
        <f t="shared" si="14"/>
        <v>0</v>
      </c>
      <c r="CT26" s="121">
        <f t="shared" si="14"/>
        <v>0</v>
      </c>
      <c r="CU26" s="118">
        <f t="shared" si="14"/>
        <v>0</v>
      </c>
      <c r="CV26" s="119">
        <f t="shared" si="14"/>
        <v>0</v>
      </c>
      <c r="CW26" s="119">
        <f t="shared" si="14"/>
        <v>0</v>
      </c>
      <c r="CX26" s="119">
        <f t="shared" si="14"/>
        <v>0</v>
      </c>
      <c r="CY26" s="119">
        <f t="shared" si="14"/>
        <v>0</v>
      </c>
      <c r="CZ26" s="119">
        <f t="shared" si="14"/>
        <v>0</v>
      </c>
      <c r="DA26" s="119">
        <f t="shared" si="14"/>
        <v>0</v>
      </c>
      <c r="DB26" s="119">
        <f t="shared" si="14"/>
        <v>0</v>
      </c>
      <c r="DC26" s="119">
        <f t="shared" si="14"/>
        <v>0</v>
      </c>
      <c r="DD26" s="120">
        <f t="shared" si="14"/>
        <v>0</v>
      </c>
      <c r="DE26" s="120">
        <f t="shared" si="14"/>
        <v>0</v>
      </c>
      <c r="DF26" s="119">
        <f t="shared" si="14"/>
        <v>0</v>
      </c>
      <c r="DG26" s="120">
        <f t="shared" si="14"/>
        <v>0</v>
      </c>
      <c r="DH26" s="120">
        <f t="shared" si="14"/>
        <v>0</v>
      </c>
      <c r="DI26" s="120">
        <f t="shared" si="14"/>
        <v>0</v>
      </c>
      <c r="DJ26" s="120">
        <f t="shared" si="14"/>
        <v>0</v>
      </c>
      <c r="DK26" s="121">
        <f t="shared" si="14"/>
        <v>0</v>
      </c>
      <c r="DL26" s="118">
        <f t="shared" si="14"/>
        <v>0</v>
      </c>
      <c r="DM26" s="119">
        <f t="shared" si="14"/>
        <v>0</v>
      </c>
      <c r="DN26" s="119">
        <f t="shared" si="14"/>
        <v>0</v>
      </c>
      <c r="DO26" s="119">
        <f t="shared" si="14"/>
        <v>0</v>
      </c>
      <c r="DP26" s="119">
        <f t="shared" si="14"/>
        <v>0</v>
      </c>
      <c r="DQ26" s="119">
        <f t="shared" si="14"/>
        <v>0</v>
      </c>
      <c r="DR26" s="119">
        <f t="shared" si="14"/>
        <v>0</v>
      </c>
      <c r="DS26" s="119">
        <f t="shared" si="14"/>
        <v>0</v>
      </c>
      <c r="DT26" s="119">
        <f t="shared" si="14"/>
        <v>0</v>
      </c>
      <c r="DU26" s="120">
        <f t="shared" si="14"/>
        <v>0</v>
      </c>
      <c r="DV26" s="120">
        <f t="shared" si="14"/>
        <v>0</v>
      </c>
      <c r="DW26" s="119">
        <f t="shared" si="14"/>
        <v>0</v>
      </c>
      <c r="DX26" s="120">
        <f t="shared" si="14"/>
        <v>0</v>
      </c>
      <c r="DY26" s="120">
        <f t="shared" si="14"/>
        <v>0</v>
      </c>
      <c r="DZ26" s="120">
        <f t="shared" si="14"/>
        <v>0</v>
      </c>
      <c r="EA26" s="120">
        <f t="shared" si="14"/>
        <v>0</v>
      </c>
      <c r="EB26" s="121">
        <f t="shared" si="14"/>
        <v>0</v>
      </c>
      <c r="EC26" s="118">
        <f t="shared" si="14"/>
        <v>0</v>
      </c>
      <c r="ED26" s="119">
        <f t="shared" si="14"/>
        <v>0</v>
      </c>
      <c r="EE26" s="119">
        <f t="shared" si="14"/>
        <v>0</v>
      </c>
      <c r="EF26" s="119">
        <f t="shared" si="14"/>
        <v>0</v>
      </c>
      <c r="EG26" s="119">
        <f t="shared" si="14"/>
        <v>0</v>
      </c>
      <c r="EH26" s="119">
        <f t="shared" si="14"/>
        <v>0</v>
      </c>
      <c r="EI26" s="119">
        <f t="shared" si="14"/>
        <v>0</v>
      </c>
      <c r="EJ26" s="119">
        <f t="shared" si="14"/>
        <v>0</v>
      </c>
      <c r="EK26" s="119">
        <f t="shared" si="14"/>
        <v>0</v>
      </c>
      <c r="EL26" s="120">
        <f t="shared" si="14"/>
        <v>0</v>
      </c>
      <c r="EM26" s="120">
        <f t="shared" si="14"/>
        <v>0</v>
      </c>
      <c r="EN26" s="119">
        <f t="shared" ref="EN26:ES26" si="15">EN17-EN25</f>
        <v>0</v>
      </c>
      <c r="EO26" s="120">
        <f t="shared" si="15"/>
        <v>0</v>
      </c>
      <c r="EP26" s="120">
        <f t="shared" si="15"/>
        <v>0</v>
      </c>
      <c r="EQ26" s="120">
        <f t="shared" si="15"/>
        <v>0</v>
      </c>
      <c r="ER26" s="120">
        <f t="shared" si="15"/>
        <v>0</v>
      </c>
      <c r="ES26" s="121">
        <f t="shared" si="15"/>
        <v>0</v>
      </c>
      <c r="ET26" s="122" t="s">
        <v>33</v>
      </c>
      <c r="EU26" s="123" t="s">
        <v>49</v>
      </c>
    </row>
    <row r="27" spans="2:151" ht="14.25" customHeight="1" x14ac:dyDescent="0.2">
      <c r="B27" s="124"/>
      <c r="C27" s="125" t="s">
        <v>50</v>
      </c>
      <c r="D27" s="126"/>
      <c r="E27" s="126"/>
      <c r="F27" s="127"/>
      <c r="G27" s="128">
        <f>SUM(I27:AD27)</f>
        <v>0</v>
      </c>
      <c r="H27" s="129"/>
      <c r="I27" s="130">
        <f t="shared" ref="I27:X28" si="16">SUM(AE27,AV27,BM27,CD27,CU27,DL27,EC27)</f>
        <v>0</v>
      </c>
      <c r="J27" s="131">
        <f t="shared" si="16"/>
        <v>0</v>
      </c>
      <c r="K27" s="131">
        <f t="shared" si="16"/>
        <v>0</v>
      </c>
      <c r="L27" s="131">
        <f t="shared" si="16"/>
        <v>0</v>
      </c>
      <c r="M27" s="131">
        <f t="shared" si="16"/>
        <v>0</v>
      </c>
      <c r="N27" s="131">
        <f t="shared" si="16"/>
        <v>0</v>
      </c>
      <c r="O27" s="131">
        <f t="shared" si="16"/>
        <v>0</v>
      </c>
      <c r="P27" s="131">
        <f t="shared" si="16"/>
        <v>0</v>
      </c>
      <c r="Q27" s="131">
        <f t="shared" si="16"/>
        <v>0</v>
      </c>
      <c r="R27" s="131">
        <f t="shared" si="16"/>
        <v>0</v>
      </c>
      <c r="S27" s="131">
        <f t="shared" si="16"/>
        <v>0</v>
      </c>
      <c r="T27" s="131">
        <f t="shared" si="16"/>
        <v>0</v>
      </c>
      <c r="U27" s="131">
        <f t="shared" si="16"/>
        <v>0</v>
      </c>
      <c r="V27" s="131">
        <f t="shared" si="16"/>
        <v>0</v>
      </c>
      <c r="W27" s="131">
        <f t="shared" si="16"/>
        <v>0</v>
      </c>
      <c r="X27" s="131">
        <f t="shared" si="16"/>
        <v>0</v>
      </c>
      <c r="Y27" s="132"/>
      <c r="Z27" s="132"/>
      <c r="AA27" s="132"/>
      <c r="AB27" s="132"/>
      <c r="AC27" s="132"/>
      <c r="AD27" s="133"/>
      <c r="AE27" s="134"/>
      <c r="AF27" s="135"/>
      <c r="AG27" s="135"/>
      <c r="AH27" s="135"/>
      <c r="AI27" s="135"/>
      <c r="AJ27" s="135"/>
      <c r="AK27" s="135"/>
      <c r="AL27" s="135"/>
      <c r="AM27" s="135"/>
      <c r="AN27" s="136"/>
      <c r="AO27" s="136"/>
      <c r="AP27" s="135"/>
      <c r="AQ27" s="136"/>
      <c r="AR27" s="136"/>
      <c r="AS27" s="136"/>
      <c r="AT27" s="135"/>
      <c r="AU27" s="137"/>
      <c r="AV27" s="134"/>
      <c r="AW27" s="135"/>
      <c r="AX27" s="135"/>
      <c r="AY27" s="135"/>
      <c r="AZ27" s="135"/>
      <c r="BA27" s="135"/>
      <c r="BB27" s="135"/>
      <c r="BC27" s="135"/>
      <c r="BD27" s="135"/>
      <c r="BE27" s="136"/>
      <c r="BF27" s="136"/>
      <c r="BG27" s="135"/>
      <c r="BH27" s="136"/>
      <c r="BI27" s="136"/>
      <c r="BJ27" s="136"/>
      <c r="BK27" s="135"/>
      <c r="BL27" s="137"/>
      <c r="BM27" s="134"/>
      <c r="BN27" s="135"/>
      <c r="BO27" s="135"/>
      <c r="BP27" s="135"/>
      <c r="BQ27" s="135"/>
      <c r="BR27" s="135"/>
      <c r="BS27" s="135"/>
      <c r="BT27" s="135"/>
      <c r="BU27" s="135"/>
      <c r="BV27" s="136"/>
      <c r="BW27" s="136"/>
      <c r="BX27" s="135"/>
      <c r="BY27" s="136"/>
      <c r="BZ27" s="136"/>
      <c r="CA27" s="136"/>
      <c r="CB27" s="135"/>
      <c r="CC27" s="137"/>
      <c r="CD27" s="134"/>
      <c r="CE27" s="135"/>
      <c r="CF27" s="135"/>
      <c r="CG27" s="135"/>
      <c r="CH27" s="135"/>
      <c r="CI27" s="135"/>
      <c r="CJ27" s="135"/>
      <c r="CK27" s="135"/>
      <c r="CL27" s="135"/>
      <c r="CM27" s="136"/>
      <c r="CN27" s="136"/>
      <c r="CO27" s="135"/>
      <c r="CP27" s="136"/>
      <c r="CQ27" s="136"/>
      <c r="CR27" s="136"/>
      <c r="CS27" s="135"/>
      <c r="CT27" s="137"/>
      <c r="CU27" s="134"/>
      <c r="CV27" s="135"/>
      <c r="CW27" s="135"/>
      <c r="CX27" s="135"/>
      <c r="CY27" s="135"/>
      <c r="CZ27" s="135"/>
      <c r="DA27" s="135"/>
      <c r="DB27" s="135"/>
      <c r="DC27" s="135"/>
      <c r="DD27" s="136"/>
      <c r="DE27" s="136"/>
      <c r="DF27" s="135"/>
      <c r="DG27" s="136"/>
      <c r="DH27" s="136"/>
      <c r="DI27" s="136"/>
      <c r="DJ27" s="135"/>
      <c r="DK27" s="137"/>
      <c r="DL27" s="134"/>
      <c r="DM27" s="135"/>
      <c r="DN27" s="135"/>
      <c r="DO27" s="135"/>
      <c r="DP27" s="135"/>
      <c r="DQ27" s="135"/>
      <c r="DR27" s="135"/>
      <c r="DS27" s="135"/>
      <c r="DT27" s="135"/>
      <c r="DU27" s="136"/>
      <c r="DV27" s="136"/>
      <c r="DW27" s="135"/>
      <c r="DX27" s="136"/>
      <c r="DY27" s="136"/>
      <c r="DZ27" s="136"/>
      <c r="EA27" s="135"/>
      <c r="EB27" s="137"/>
      <c r="EC27" s="134"/>
      <c r="ED27" s="135"/>
      <c r="EE27" s="135"/>
      <c r="EF27" s="135"/>
      <c r="EG27" s="135"/>
      <c r="EH27" s="135"/>
      <c r="EI27" s="135"/>
      <c r="EJ27" s="135"/>
      <c r="EK27" s="135"/>
      <c r="EL27" s="136"/>
      <c r="EM27" s="136"/>
      <c r="EN27" s="135"/>
      <c r="EO27" s="136"/>
      <c r="EP27" s="136"/>
      <c r="EQ27" s="136"/>
      <c r="ER27" s="135"/>
      <c r="ES27" s="137"/>
      <c r="ET27" s="138" t="s">
        <v>33</v>
      </c>
      <c r="EU27" s="64" t="s">
        <v>51</v>
      </c>
    </row>
    <row r="28" spans="2:151" ht="14.25" customHeight="1" x14ac:dyDescent="0.2">
      <c r="B28" s="139"/>
      <c r="C28" s="140" t="s">
        <v>52</v>
      </c>
      <c r="D28" s="141"/>
      <c r="E28" s="141"/>
      <c r="F28" s="142"/>
      <c r="G28" s="107">
        <f>SUM(I28:AD28)</f>
        <v>0</v>
      </c>
      <c r="H28" s="108"/>
      <c r="I28" s="143">
        <f t="shared" si="16"/>
        <v>0</v>
      </c>
      <c r="J28" s="144">
        <f t="shared" si="16"/>
        <v>0</v>
      </c>
      <c r="K28" s="144">
        <f t="shared" si="16"/>
        <v>0</v>
      </c>
      <c r="L28" s="144">
        <f t="shared" si="16"/>
        <v>0</v>
      </c>
      <c r="M28" s="144">
        <f t="shared" si="16"/>
        <v>0</v>
      </c>
      <c r="N28" s="144">
        <f t="shared" si="16"/>
        <v>0</v>
      </c>
      <c r="O28" s="144">
        <f t="shared" si="16"/>
        <v>0</v>
      </c>
      <c r="P28" s="144">
        <f t="shared" si="16"/>
        <v>0</v>
      </c>
      <c r="Q28" s="144">
        <f t="shared" si="16"/>
        <v>0</v>
      </c>
      <c r="R28" s="144">
        <f t="shared" si="16"/>
        <v>0</v>
      </c>
      <c r="S28" s="144">
        <f t="shared" si="16"/>
        <v>0</v>
      </c>
      <c r="T28" s="144">
        <f t="shared" si="16"/>
        <v>0</v>
      </c>
      <c r="U28" s="144">
        <f t="shared" si="16"/>
        <v>0</v>
      </c>
      <c r="V28" s="144">
        <f t="shared" si="16"/>
        <v>0</v>
      </c>
      <c r="W28" s="144">
        <f t="shared" si="16"/>
        <v>0</v>
      </c>
      <c r="X28" s="144">
        <f t="shared" si="16"/>
        <v>0</v>
      </c>
      <c r="Y28" s="86"/>
      <c r="Z28" s="86"/>
      <c r="AA28" s="86"/>
      <c r="AB28" s="86"/>
      <c r="AC28" s="86"/>
      <c r="AD28" s="93"/>
      <c r="AE28" s="145"/>
      <c r="AF28" s="94"/>
      <c r="AG28" s="94"/>
      <c r="AH28" s="94"/>
      <c r="AI28" s="94"/>
      <c r="AJ28" s="94"/>
      <c r="AK28" s="94"/>
      <c r="AL28" s="94"/>
      <c r="AM28" s="94"/>
      <c r="AN28" s="89"/>
      <c r="AO28" s="89"/>
      <c r="AP28" s="94"/>
      <c r="AQ28" s="89"/>
      <c r="AR28" s="89"/>
      <c r="AS28" s="89"/>
      <c r="AT28" s="94"/>
      <c r="AU28" s="95"/>
      <c r="AV28" s="145"/>
      <c r="AW28" s="94"/>
      <c r="AX28" s="94"/>
      <c r="AY28" s="94"/>
      <c r="AZ28" s="94"/>
      <c r="BA28" s="94"/>
      <c r="BB28" s="94"/>
      <c r="BC28" s="94"/>
      <c r="BD28" s="94"/>
      <c r="BE28" s="89"/>
      <c r="BF28" s="89"/>
      <c r="BG28" s="94"/>
      <c r="BH28" s="89"/>
      <c r="BI28" s="89"/>
      <c r="BJ28" s="89"/>
      <c r="BK28" s="94"/>
      <c r="BL28" s="95"/>
      <c r="BM28" s="145"/>
      <c r="BN28" s="94"/>
      <c r="BO28" s="94"/>
      <c r="BP28" s="94"/>
      <c r="BQ28" s="94"/>
      <c r="BR28" s="94"/>
      <c r="BS28" s="94"/>
      <c r="BT28" s="94"/>
      <c r="BU28" s="94"/>
      <c r="BV28" s="89"/>
      <c r="BW28" s="89"/>
      <c r="BX28" s="94"/>
      <c r="BY28" s="89"/>
      <c r="BZ28" s="89"/>
      <c r="CA28" s="89"/>
      <c r="CB28" s="94"/>
      <c r="CC28" s="95"/>
      <c r="CD28" s="145"/>
      <c r="CE28" s="94"/>
      <c r="CF28" s="94"/>
      <c r="CG28" s="94"/>
      <c r="CH28" s="94"/>
      <c r="CI28" s="94"/>
      <c r="CJ28" s="94"/>
      <c r="CK28" s="94"/>
      <c r="CL28" s="94"/>
      <c r="CM28" s="89"/>
      <c r="CN28" s="89"/>
      <c r="CO28" s="94"/>
      <c r="CP28" s="89"/>
      <c r="CQ28" s="89"/>
      <c r="CR28" s="89"/>
      <c r="CS28" s="94"/>
      <c r="CT28" s="95"/>
      <c r="CU28" s="145"/>
      <c r="CV28" s="94"/>
      <c r="CW28" s="94"/>
      <c r="CX28" s="94"/>
      <c r="CY28" s="94"/>
      <c r="CZ28" s="94"/>
      <c r="DA28" s="94"/>
      <c r="DB28" s="94"/>
      <c r="DC28" s="94"/>
      <c r="DD28" s="89"/>
      <c r="DE28" s="89"/>
      <c r="DF28" s="94"/>
      <c r="DG28" s="89"/>
      <c r="DH28" s="89"/>
      <c r="DI28" s="89"/>
      <c r="DJ28" s="94"/>
      <c r="DK28" s="95"/>
      <c r="DL28" s="145"/>
      <c r="DM28" s="94"/>
      <c r="DN28" s="94"/>
      <c r="DO28" s="94"/>
      <c r="DP28" s="94"/>
      <c r="DQ28" s="94"/>
      <c r="DR28" s="94"/>
      <c r="DS28" s="94"/>
      <c r="DT28" s="94"/>
      <c r="DU28" s="89"/>
      <c r="DV28" s="89"/>
      <c r="DW28" s="94"/>
      <c r="DX28" s="89"/>
      <c r="DY28" s="89"/>
      <c r="DZ28" s="89"/>
      <c r="EA28" s="94"/>
      <c r="EB28" s="95"/>
      <c r="EC28" s="145"/>
      <c r="ED28" s="94"/>
      <c r="EE28" s="94"/>
      <c r="EF28" s="94"/>
      <c r="EG28" s="94"/>
      <c r="EH28" s="94"/>
      <c r="EI28" s="94"/>
      <c r="EJ28" s="94"/>
      <c r="EK28" s="94"/>
      <c r="EL28" s="89"/>
      <c r="EM28" s="89"/>
      <c r="EN28" s="94"/>
      <c r="EO28" s="89"/>
      <c r="EP28" s="89"/>
      <c r="EQ28" s="89"/>
      <c r="ER28" s="94"/>
      <c r="ES28" s="95"/>
      <c r="ET28" s="146" t="s">
        <v>33</v>
      </c>
      <c r="EU28" s="147" t="s">
        <v>53</v>
      </c>
    </row>
    <row r="29" spans="2:151" ht="14.25" customHeight="1" thickBot="1" x14ac:dyDescent="0.25">
      <c r="B29" s="148"/>
      <c r="C29" s="149" t="s">
        <v>54</v>
      </c>
      <c r="D29" s="150"/>
      <c r="E29" s="150"/>
      <c r="F29" s="151"/>
      <c r="G29" s="116">
        <f>G26-G27-G28</f>
        <v>208984.08816599706</v>
      </c>
      <c r="H29" s="117">
        <f t="shared" ref="H29:BU29" si="17">H26-H27-H28</f>
        <v>0</v>
      </c>
      <c r="I29" s="152">
        <f t="shared" si="17"/>
        <v>-39781.220000000438</v>
      </c>
      <c r="J29" s="120">
        <f t="shared" si="17"/>
        <v>0</v>
      </c>
      <c r="K29" s="120">
        <f t="shared" si="17"/>
        <v>0</v>
      </c>
      <c r="L29" s="120">
        <f t="shared" si="17"/>
        <v>137083.39000000001</v>
      </c>
      <c r="M29" s="120">
        <f t="shared" si="17"/>
        <v>0</v>
      </c>
      <c r="N29" s="120">
        <f t="shared" si="17"/>
        <v>0</v>
      </c>
      <c r="O29" s="120">
        <f t="shared" si="17"/>
        <v>-6330.9599999999991</v>
      </c>
      <c r="P29" s="120">
        <f t="shared" si="17"/>
        <v>4031.2089999999998</v>
      </c>
      <c r="Q29" s="120">
        <f t="shared" si="17"/>
        <v>0</v>
      </c>
      <c r="R29" s="120">
        <f t="shared" si="17"/>
        <v>1731.0889999999999</v>
      </c>
      <c r="S29" s="120">
        <f t="shared" si="17"/>
        <v>0</v>
      </c>
      <c r="T29" s="120">
        <f t="shared" si="17"/>
        <v>0</v>
      </c>
      <c r="U29" s="120">
        <f t="shared" si="17"/>
        <v>66683.97</v>
      </c>
      <c r="V29" s="120">
        <f t="shared" si="17"/>
        <v>0</v>
      </c>
      <c r="W29" s="120">
        <f t="shared" si="17"/>
        <v>0</v>
      </c>
      <c r="X29" s="120">
        <f t="shared" si="17"/>
        <v>0</v>
      </c>
      <c r="Y29" s="120">
        <f t="shared" si="17"/>
        <v>0</v>
      </c>
      <c r="Z29" s="120">
        <f t="shared" si="17"/>
        <v>0</v>
      </c>
      <c r="AA29" s="120">
        <f t="shared" si="17"/>
        <v>0</v>
      </c>
      <c r="AB29" s="120">
        <f t="shared" si="17"/>
        <v>0</v>
      </c>
      <c r="AC29" s="120">
        <f t="shared" si="17"/>
        <v>0</v>
      </c>
      <c r="AD29" s="121">
        <f t="shared" si="17"/>
        <v>140308.54016599758</v>
      </c>
      <c r="AE29" s="152">
        <f t="shared" si="17"/>
        <v>-39781.220000000438</v>
      </c>
      <c r="AF29" s="120">
        <f t="shared" si="17"/>
        <v>0</v>
      </c>
      <c r="AG29" s="120">
        <f t="shared" si="17"/>
        <v>0</v>
      </c>
      <c r="AH29" s="120">
        <f t="shared" si="17"/>
        <v>137083.39000000001</v>
      </c>
      <c r="AI29" s="120">
        <f t="shared" si="17"/>
        <v>0</v>
      </c>
      <c r="AJ29" s="120">
        <f t="shared" si="17"/>
        <v>0</v>
      </c>
      <c r="AK29" s="120">
        <f t="shared" si="17"/>
        <v>-6330.9599999999991</v>
      </c>
      <c r="AL29" s="120">
        <f t="shared" si="17"/>
        <v>4031.2089999999998</v>
      </c>
      <c r="AM29" s="120">
        <f t="shared" si="17"/>
        <v>0</v>
      </c>
      <c r="AN29" s="120">
        <f t="shared" si="17"/>
        <v>1731.0889999999999</v>
      </c>
      <c r="AO29" s="120">
        <f t="shared" si="17"/>
        <v>0</v>
      </c>
      <c r="AP29" s="120">
        <f t="shared" si="17"/>
        <v>0</v>
      </c>
      <c r="AQ29" s="120">
        <f t="shared" si="17"/>
        <v>66683.97</v>
      </c>
      <c r="AR29" s="120">
        <f t="shared" si="17"/>
        <v>0</v>
      </c>
      <c r="AS29" s="120">
        <f t="shared" si="17"/>
        <v>0</v>
      </c>
      <c r="AT29" s="120">
        <f t="shared" si="17"/>
        <v>0</v>
      </c>
      <c r="AU29" s="121">
        <f t="shared" si="17"/>
        <v>0</v>
      </c>
      <c r="AV29" s="152">
        <f t="shared" si="17"/>
        <v>0</v>
      </c>
      <c r="AW29" s="120">
        <f t="shared" si="17"/>
        <v>0</v>
      </c>
      <c r="AX29" s="120">
        <f t="shared" si="17"/>
        <v>0</v>
      </c>
      <c r="AY29" s="120">
        <f t="shared" si="17"/>
        <v>0</v>
      </c>
      <c r="AZ29" s="120">
        <f t="shared" si="17"/>
        <v>0</v>
      </c>
      <c r="BA29" s="120">
        <f t="shared" si="17"/>
        <v>0</v>
      </c>
      <c r="BB29" s="120">
        <f t="shared" si="17"/>
        <v>0</v>
      </c>
      <c r="BC29" s="120">
        <f t="shared" si="17"/>
        <v>0</v>
      </c>
      <c r="BD29" s="120">
        <f t="shared" si="17"/>
        <v>0</v>
      </c>
      <c r="BE29" s="120">
        <f t="shared" si="17"/>
        <v>0</v>
      </c>
      <c r="BF29" s="120">
        <f t="shared" si="17"/>
        <v>0</v>
      </c>
      <c r="BG29" s="120">
        <f t="shared" si="17"/>
        <v>0</v>
      </c>
      <c r="BH29" s="120">
        <f t="shared" si="17"/>
        <v>0</v>
      </c>
      <c r="BI29" s="120">
        <f t="shared" si="17"/>
        <v>0</v>
      </c>
      <c r="BJ29" s="120">
        <f t="shared" si="17"/>
        <v>0</v>
      </c>
      <c r="BK29" s="120">
        <f t="shared" si="17"/>
        <v>0</v>
      </c>
      <c r="BL29" s="121">
        <f t="shared" si="17"/>
        <v>0</v>
      </c>
      <c r="BM29" s="152">
        <f t="shared" si="17"/>
        <v>0</v>
      </c>
      <c r="BN29" s="120">
        <f t="shared" si="17"/>
        <v>0</v>
      </c>
      <c r="BO29" s="120">
        <f t="shared" si="17"/>
        <v>0</v>
      </c>
      <c r="BP29" s="120">
        <f t="shared" si="17"/>
        <v>0</v>
      </c>
      <c r="BQ29" s="120">
        <f t="shared" si="17"/>
        <v>0</v>
      </c>
      <c r="BR29" s="120">
        <f t="shared" si="17"/>
        <v>0</v>
      </c>
      <c r="BS29" s="120">
        <f t="shared" si="17"/>
        <v>0</v>
      </c>
      <c r="BT29" s="120">
        <f t="shared" si="17"/>
        <v>0</v>
      </c>
      <c r="BU29" s="120">
        <f t="shared" si="17"/>
        <v>0</v>
      </c>
      <c r="BV29" s="120">
        <f t="shared" ref="BV29:EK29" si="18">BV26-BV27-BV28</f>
        <v>0</v>
      </c>
      <c r="BW29" s="120">
        <f t="shared" si="18"/>
        <v>0</v>
      </c>
      <c r="BX29" s="120">
        <f t="shared" si="18"/>
        <v>0</v>
      </c>
      <c r="BY29" s="120">
        <f t="shared" si="18"/>
        <v>0</v>
      </c>
      <c r="BZ29" s="120">
        <f t="shared" si="18"/>
        <v>0</v>
      </c>
      <c r="CA29" s="120">
        <f t="shared" si="18"/>
        <v>0</v>
      </c>
      <c r="CB29" s="120">
        <f t="shared" si="18"/>
        <v>0</v>
      </c>
      <c r="CC29" s="121">
        <f t="shared" si="18"/>
        <v>0</v>
      </c>
      <c r="CD29" s="152">
        <f t="shared" si="18"/>
        <v>0</v>
      </c>
      <c r="CE29" s="120">
        <f t="shared" si="18"/>
        <v>0</v>
      </c>
      <c r="CF29" s="120">
        <f t="shared" si="18"/>
        <v>0</v>
      </c>
      <c r="CG29" s="120">
        <f t="shared" si="18"/>
        <v>0</v>
      </c>
      <c r="CH29" s="120">
        <f t="shared" si="18"/>
        <v>0</v>
      </c>
      <c r="CI29" s="120">
        <f t="shared" si="18"/>
        <v>0</v>
      </c>
      <c r="CJ29" s="120">
        <f t="shared" si="18"/>
        <v>0</v>
      </c>
      <c r="CK29" s="120">
        <f t="shared" si="18"/>
        <v>0</v>
      </c>
      <c r="CL29" s="120">
        <f t="shared" si="18"/>
        <v>0</v>
      </c>
      <c r="CM29" s="120">
        <f t="shared" si="18"/>
        <v>0</v>
      </c>
      <c r="CN29" s="120">
        <f t="shared" si="18"/>
        <v>0</v>
      </c>
      <c r="CO29" s="120">
        <f t="shared" si="18"/>
        <v>0</v>
      </c>
      <c r="CP29" s="120">
        <f t="shared" si="18"/>
        <v>0</v>
      </c>
      <c r="CQ29" s="120">
        <f t="shared" si="18"/>
        <v>0</v>
      </c>
      <c r="CR29" s="120">
        <f t="shared" si="18"/>
        <v>0</v>
      </c>
      <c r="CS29" s="120">
        <f t="shared" si="18"/>
        <v>0</v>
      </c>
      <c r="CT29" s="121">
        <f t="shared" si="18"/>
        <v>0</v>
      </c>
      <c r="CU29" s="152">
        <f t="shared" si="18"/>
        <v>0</v>
      </c>
      <c r="CV29" s="120">
        <f t="shared" si="18"/>
        <v>0</v>
      </c>
      <c r="CW29" s="120">
        <f t="shared" si="18"/>
        <v>0</v>
      </c>
      <c r="CX29" s="120">
        <f t="shared" si="18"/>
        <v>0</v>
      </c>
      <c r="CY29" s="120">
        <f t="shared" si="18"/>
        <v>0</v>
      </c>
      <c r="CZ29" s="120">
        <f t="shared" si="18"/>
        <v>0</v>
      </c>
      <c r="DA29" s="120">
        <f t="shared" si="18"/>
        <v>0</v>
      </c>
      <c r="DB29" s="120">
        <f t="shared" si="18"/>
        <v>0</v>
      </c>
      <c r="DC29" s="120">
        <f t="shared" si="18"/>
        <v>0</v>
      </c>
      <c r="DD29" s="120">
        <f t="shared" si="18"/>
        <v>0</v>
      </c>
      <c r="DE29" s="120">
        <f t="shared" si="18"/>
        <v>0</v>
      </c>
      <c r="DF29" s="120">
        <f t="shared" si="18"/>
        <v>0</v>
      </c>
      <c r="DG29" s="120">
        <f t="shared" si="18"/>
        <v>0</v>
      </c>
      <c r="DH29" s="120">
        <f t="shared" si="18"/>
        <v>0</v>
      </c>
      <c r="DI29" s="120">
        <f t="shared" si="18"/>
        <v>0</v>
      </c>
      <c r="DJ29" s="120">
        <f t="shared" si="18"/>
        <v>0</v>
      </c>
      <c r="DK29" s="121">
        <f t="shared" si="18"/>
        <v>0</v>
      </c>
      <c r="DL29" s="152">
        <f t="shared" si="18"/>
        <v>0</v>
      </c>
      <c r="DM29" s="120">
        <f t="shared" si="18"/>
        <v>0</v>
      </c>
      <c r="DN29" s="120">
        <f t="shared" si="18"/>
        <v>0</v>
      </c>
      <c r="DO29" s="120">
        <f t="shared" si="18"/>
        <v>0</v>
      </c>
      <c r="DP29" s="120">
        <f t="shared" si="18"/>
        <v>0</v>
      </c>
      <c r="DQ29" s="120">
        <f t="shared" si="18"/>
        <v>0</v>
      </c>
      <c r="DR29" s="120">
        <f t="shared" si="18"/>
        <v>0</v>
      </c>
      <c r="DS29" s="120">
        <f t="shared" si="18"/>
        <v>0</v>
      </c>
      <c r="DT29" s="120">
        <f t="shared" si="18"/>
        <v>0</v>
      </c>
      <c r="DU29" s="120">
        <f t="shared" si="18"/>
        <v>0</v>
      </c>
      <c r="DV29" s="120">
        <f t="shared" si="18"/>
        <v>0</v>
      </c>
      <c r="DW29" s="120">
        <f t="shared" si="18"/>
        <v>0</v>
      </c>
      <c r="DX29" s="120">
        <f t="shared" si="18"/>
        <v>0</v>
      </c>
      <c r="DY29" s="120">
        <f t="shared" si="18"/>
        <v>0</v>
      </c>
      <c r="DZ29" s="120">
        <f t="shared" si="18"/>
        <v>0</v>
      </c>
      <c r="EA29" s="120">
        <f t="shared" si="18"/>
        <v>0</v>
      </c>
      <c r="EB29" s="121">
        <f t="shared" si="18"/>
        <v>0</v>
      </c>
      <c r="EC29" s="152">
        <f t="shared" si="18"/>
        <v>0</v>
      </c>
      <c r="ED29" s="120">
        <f t="shared" si="18"/>
        <v>0</v>
      </c>
      <c r="EE29" s="120">
        <f t="shared" si="18"/>
        <v>0</v>
      </c>
      <c r="EF29" s="120">
        <f t="shared" si="18"/>
        <v>0</v>
      </c>
      <c r="EG29" s="120">
        <f t="shared" si="18"/>
        <v>0</v>
      </c>
      <c r="EH29" s="120">
        <f t="shared" si="18"/>
        <v>0</v>
      </c>
      <c r="EI29" s="120">
        <f t="shared" si="18"/>
        <v>0</v>
      </c>
      <c r="EJ29" s="120">
        <f t="shared" si="18"/>
        <v>0</v>
      </c>
      <c r="EK29" s="120">
        <f t="shared" si="18"/>
        <v>0</v>
      </c>
      <c r="EL29" s="120">
        <f t="shared" ref="EL29:ES29" si="19">EL26-EL27-EL28</f>
        <v>0</v>
      </c>
      <c r="EM29" s="120">
        <f t="shared" si="19"/>
        <v>0</v>
      </c>
      <c r="EN29" s="120">
        <f t="shared" si="19"/>
        <v>0</v>
      </c>
      <c r="EO29" s="120">
        <f t="shared" si="19"/>
        <v>0</v>
      </c>
      <c r="EP29" s="120">
        <f t="shared" si="19"/>
        <v>0</v>
      </c>
      <c r="EQ29" s="120">
        <f t="shared" si="19"/>
        <v>0</v>
      </c>
      <c r="ER29" s="120">
        <f t="shared" si="19"/>
        <v>0</v>
      </c>
      <c r="ES29" s="121">
        <f t="shared" si="19"/>
        <v>0</v>
      </c>
      <c r="ET29" s="153" t="s">
        <v>33</v>
      </c>
      <c r="EU29" s="123" t="s">
        <v>55</v>
      </c>
    </row>
    <row r="30" spans="2:151" ht="14.25" customHeight="1" x14ac:dyDescent="0.2">
      <c r="B30" s="124"/>
      <c r="C30" s="154" t="s">
        <v>56</v>
      </c>
      <c r="D30" s="154"/>
      <c r="E30" s="154"/>
      <c r="F30" s="155"/>
      <c r="G30" s="156">
        <f>SUM(I30:W30,Y30:AA30)</f>
        <v>0</v>
      </c>
      <c r="H30" s="157"/>
      <c r="I30" s="130">
        <f t="shared" ref="I30:W30" si="20">SUM(AE30,AV30,BM30,CD30,CU30,DL30,EC30)</f>
        <v>0</v>
      </c>
      <c r="J30" s="131">
        <f t="shared" si="20"/>
        <v>0</v>
      </c>
      <c r="K30" s="131">
        <f t="shared" si="20"/>
        <v>0</v>
      </c>
      <c r="L30" s="131">
        <f t="shared" si="20"/>
        <v>0</v>
      </c>
      <c r="M30" s="131">
        <f t="shared" si="20"/>
        <v>0</v>
      </c>
      <c r="N30" s="131">
        <f t="shared" si="20"/>
        <v>0</v>
      </c>
      <c r="O30" s="131">
        <f t="shared" si="20"/>
        <v>0</v>
      </c>
      <c r="P30" s="131">
        <f t="shared" si="20"/>
        <v>0</v>
      </c>
      <c r="Q30" s="131">
        <f t="shared" si="20"/>
        <v>0</v>
      </c>
      <c r="R30" s="131">
        <f t="shared" si="20"/>
        <v>0</v>
      </c>
      <c r="S30" s="131">
        <f t="shared" si="20"/>
        <v>0</v>
      </c>
      <c r="T30" s="131">
        <f t="shared" si="20"/>
        <v>0</v>
      </c>
      <c r="U30" s="131">
        <f t="shared" si="20"/>
        <v>0</v>
      </c>
      <c r="V30" s="131">
        <f t="shared" si="20"/>
        <v>0</v>
      </c>
      <c r="W30" s="131">
        <f t="shared" si="20"/>
        <v>0</v>
      </c>
      <c r="X30" s="158" t="s">
        <v>33</v>
      </c>
      <c r="Y30" s="132"/>
      <c r="Z30" s="132"/>
      <c r="AA30" s="132"/>
      <c r="AB30" s="159" t="s">
        <v>33</v>
      </c>
      <c r="AC30" s="159" t="s">
        <v>33</v>
      </c>
      <c r="AD30" s="160" t="s">
        <v>33</v>
      </c>
      <c r="AE30" s="134"/>
      <c r="AF30" s="135"/>
      <c r="AG30" s="135"/>
      <c r="AH30" s="135"/>
      <c r="AI30" s="135"/>
      <c r="AJ30" s="135"/>
      <c r="AK30" s="135"/>
      <c r="AL30" s="136"/>
      <c r="AM30" s="136"/>
      <c r="AN30" s="136"/>
      <c r="AO30" s="136"/>
      <c r="AP30" s="135"/>
      <c r="AQ30" s="136"/>
      <c r="AR30" s="136"/>
      <c r="AS30" s="136"/>
      <c r="AT30" s="159" t="s">
        <v>33</v>
      </c>
      <c r="AU30" s="160" t="s">
        <v>33</v>
      </c>
      <c r="AV30" s="134"/>
      <c r="AW30" s="135"/>
      <c r="AX30" s="135"/>
      <c r="AY30" s="135"/>
      <c r="AZ30" s="135"/>
      <c r="BA30" s="135"/>
      <c r="BB30" s="135"/>
      <c r="BC30" s="136"/>
      <c r="BD30" s="136"/>
      <c r="BE30" s="136"/>
      <c r="BF30" s="136"/>
      <c r="BG30" s="135"/>
      <c r="BH30" s="136"/>
      <c r="BI30" s="136"/>
      <c r="BJ30" s="136"/>
      <c r="BK30" s="159" t="s">
        <v>33</v>
      </c>
      <c r="BL30" s="160" t="s">
        <v>33</v>
      </c>
      <c r="BM30" s="134"/>
      <c r="BN30" s="135"/>
      <c r="BO30" s="135"/>
      <c r="BP30" s="135"/>
      <c r="BQ30" s="135"/>
      <c r="BR30" s="135"/>
      <c r="BS30" s="135"/>
      <c r="BT30" s="136"/>
      <c r="BU30" s="136"/>
      <c r="BV30" s="136"/>
      <c r="BW30" s="136"/>
      <c r="BX30" s="135"/>
      <c r="BY30" s="136"/>
      <c r="BZ30" s="136"/>
      <c r="CA30" s="136"/>
      <c r="CB30" s="159" t="s">
        <v>33</v>
      </c>
      <c r="CC30" s="160" t="s">
        <v>33</v>
      </c>
      <c r="CD30" s="134"/>
      <c r="CE30" s="135"/>
      <c r="CF30" s="135"/>
      <c r="CG30" s="135"/>
      <c r="CH30" s="135"/>
      <c r="CI30" s="135"/>
      <c r="CJ30" s="135"/>
      <c r="CK30" s="136"/>
      <c r="CL30" s="136"/>
      <c r="CM30" s="136"/>
      <c r="CN30" s="136"/>
      <c r="CO30" s="135"/>
      <c r="CP30" s="136"/>
      <c r="CQ30" s="136"/>
      <c r="CR30" s="136"/>
      <c r="CS30" s="159" t="s">
        <v>33</v>
      </c>
      <c r="CT30" s="160" t="s">
        <v>33</v>
      </c>
      <c r="CU30" s="134"/>
      <c r="CV30" s="135"/>
      <c r="CW30" s="135"/>
      <c r="CX30" s="135"/>
      <c r="CY30" s="135"/>
      <c r="CZ30" s="135"/>
      <c r="DA30" s="135"/>
      <c r="DB30" s="136"/>
      <c r="DC30" s="136"/>
      <c r="DD30" s="136"/>
      <c r="DE30" s="136"/>
      <c r="DF30" s="135"/>
      <c r="DG30" s="136"/>
      <c r="DH30" s="136"/>
      <c r="DI30" s="136"/>
      <c r="DJ30" s="159" t="s">
        <v>33</v>
      </c>
      <c r="DK30" s="160" t="s">
        <v>33</v>
      </c>
      <c r="DL30" s="134"/>
      <c r="DM30" s="135"/>
      <c r="DN30" s="135"/>
      <c r="DO30" s="135"/>
      <c r="DP30" s="135"/>
      <c r="DQ30" s="135"/>
      <c r="DR30" s="135"/>
      <c r="DS30" s="136"/>
      <c r="DT30" s="136"/>
      <c r="DU30" s="136"/>
      <c r="DV30" s="136"/>
      <c r="DW30" s="135"/>
      <c r="DX30" s="136"/>
      <c r="DY30" s="136"/>
      <c r="DZ30" s="136"/>
      <c r="EA30" s="159" t="s">
        <v>33</v>
      </c>
      <c r="EB30" s="160" t="s">
        <v>33</v>
      </c>
      <c r="EC30" s="134"/>
      <c r="ED30" s="135"/>
      <c r="EE30" s="135"/>
      <c r="EF30" s="135"/>
      <c r="EG30" s="135"/>
      <c r="EH30" s="135"/>
      <c r="EI30" s="135"/>
      <c r="EJ30" s="136"/>
      <c r="EK30" s="136"/>
      <c r="EL30" s="136"/>
      <c r="EM30" s="136"/>
      <c r="EN30" s="135"/>
      <c r="EO30" s="136"/>
      <c r="EP30" s="136"/>
      <c r="EQ30" s="136"/>
      <c r="ER30" s="159" t="s">
        <v>33</v>
      </c>
      <c r="ES30" s="160" t="s">
        <v>33</v>
      </c>
      <c r="ET30" s="138" t="s">
        <v>33</v>
      </c>
      <c r="EU30" s="64" t="s">
        <v>57</v>
      </c>
    </row>
    <row r="31" spans="2:151" ht="14.25" customHeight="1" x14ac:dyDescent="0.2">
      <c r="B31" s="139"/>
      <c r="C31" s="161" t="s">
        <v>58</v>
      </c>
      <c r="D31" s="161"/>
      <c r="E31" s="161"/>
      <c r="F31" s="162"/>
      <c r="G31" s="80">
        <f t="shared" ref="G31:W31" si="21">G29-G30</f>
        <v>208984.08816599706</v>
      </c>
      <c r="H31" s="81">
        <f t="shared" si="21"/>
        <v>0</v>
      </c>
      <c r="I31" s="163">
        <f t="shared" si="21"/>
        <v>-39781.220000000438</v>
      </c>
      <c r="J31" s="164">
        <f t="shared" si="21"/>
        <v>0</v>
      </c>
      <c r="K31" s="164">
        <f t="shared" si="21"/>
        <v>0</v>
      </c>
      <c r="L31" s="164">
        <f t="shared" si="21"/>
        <v>137083.39000000001</v>
      </c>
      <c r="M31" s="164">
        <f t="shared" si="21"/>
        <v>0</v>
      </c>
      <c r="N31" s="164">
        <f t="shared" si="21"/>
        <v>0</v>
      </c>
      <c r="O31" s="164">
        <f t="shared" si="21"/>
        <v>-6330.9599999999991</v>
      </c>
      <c r="P31" s="164">
        <f t="shared" si="21"/>
        <v>4031.2089999999998</v>
      </c>
      <c r="Q31" s="164">
        <f t="shared" si="21"/>
        <v>0</v>
      </c>
      <c r="R31" s="164">
        <f t="shared" si="21"/>
        <v>1731.0889999999999</v>
      </c>
      <c r="S31" s="164">
        <f t="shared" si="21"/>
        <v>0</v>
      </c>
      <c r="T31" s="164">
        <f t="shared" si="21"/>
        <v>0</v>
      </c>
      <c r="U31" s="164">
        <f t="shared" si="21"/>
        <v>66683.97</v>
      </c>
      <c r="V31" s="164">
        <f t="shared" si="21"/>
        <v>0</v>
      </c>
      <c r="W31" s="164">
        <f t="shared" si="21"/>
        <v>0</v>
      </c>
      <c r="X31" s="85" t="s">
        <v>33</v>
      </c>
      <c r="Y31" s="164">
        <f>Y29-Y30</f>
        <v>0</v>
      </c>
      <c r="Z31" s="164">
        <f>Z29-Z30</f>
        <v>0</v>
      </c>
      <c r="AA31" s="164">
        <f>AA29-AA30</f>
        <v>0</v>
      </c>
      <c r="AB31" s="85" t="s">
        <v>33</v>
      </c>
      <c r="AC31" s="85" t="s">
        <v>33</v>
      </c>
      <c r="AD31" s="87" t="s">
        <v>33</v>
      </c>
      <c r="AE31" s="163">
        <f t="shared" ref="AE31:AS31" si="22">AE29-AE30</f>
        <v>-39781.220000000438</v>
      </c>
      <c r="AF31" s="164">
        <f t="shared" si="22"/>
        <v>0</v>
      </c>
      <c r="AG31" s="164">
        <f t="shared" si="22"/>
        <v>0</v>
      </c>
      <c r="AH31" s="164">
        <f t="shared" si="22"/>
        <v>137083.39000000001</v>
      </c>
      <c r="AI31" s="164">
        <f t="shared" si="22"/>
        <v>0</v>
      </c>
      <c r="AJ31" s="164">
        <f t="shared" si="22"/>
        <v>0</v>
      </c>
      <c r="AK31" s="164">
        <f t="shared" si="22"/>
        <v>-6330.9599999999991</v>
      </c>
      <c r="AL31" s="164">
        <f t="shared" si="22"/>
        <v>4031.2089999999998</v>
      </c>
      <c r="AM31" s="164">
        <f t="shared" si="22"/>
        <v>0</v>
      </c>
      <c r="AN31" s="164">
        <f t="shared" si="22"/>
        <v>1731.0889999999999</v>
      </c>
      <c r="AO31" s="164">
        <f t="shared" si="22"/>
        <v>0</v>
      </c>
      <c r="AP31" s="164">
        <f t="shared" si="22"/>
        <v>0</v>
      </c>
      <c r="AQ31" s="164">
        <f t="shared" si="22"/>
        <v>66683.97</v>
      </c>
      <c r="AR31" s="164">
        <f t="shared" si="22"/>
        <v>0</v>
      </c>
      <c r="AS31" s="164">
        <f t="shared" si="22"/>
        <v>0</v>
      </c>
      <c r="AT31" s="85" t="s">
        <v>33</v>
      </c>
      <c r="AU31" s="87" t="s">
        <v>33</v>
      </c>
      <c r="AV31" s="163">
        <f t="shared" ref="AV31:BJ31" si="23">AV29-AV30</f>
        <v>0</v>
      </c>
      <c r="AW31" s="164">
        <f t="shared" si="23"/>
        <v>0</v>
      </c>
      <c r="AX31" s="164">
        <f t="shared" si="23"/>
        <v>0</v>
      </c>
      <c r="AY31" s="164">
        <f t="shared" si="23"/>
        <v>0</v>
      </c>
      <c r="AZ31" s="164">
        <f t="shared" si="23"/>
        <v>0</v>
      </c>
      <c r="BA31" s="164">
        <f t="shared" si="23"/>
        <v>0</v>
      </c>
      <c r="BB31" s="164">
        <f t="shared" si="23"/>
        <v>0</v>
      </c>
      <c r="BC31" s="164">
        <f t="shared" si="23"/>
        <v>0</v>
      </c>
      <c r="BD31" s="164">
        <f t="shared" si="23"/>
        <v>0</v>
      </c>
      <c r="BE31" s="164">
        <f t="shared" si="23"/>
        <v>0</v>
      </c>
      <c r="BF31" s="164">
        <f t="shared" si="23"/>
        <v>0</v>
      </c>
      <c r="BG31" s="164">
        <f t="shared" si="23"/>
        <v>0</v>
      </c>
      <c r="BH31" s="164">
        <f t="shared" si="23"/>
        <v>0</v>
      </c>
      <c r="BI31" s="164">
        <f t="shared" si="23"/>
        <v>0</v>
      </c>
      <c r="BJ31" s="164">
        <f t="shared" si="23"/>
        <v>0</v>
      </c>
      <c r="BK31" s="85" t="s">
        <v>33</v>
      </c>
      <c r="BL31" s="87" t="s">
        <v>33</v>
      </c>
      <c r="BM31" s="163">
        <f t="shared" ref="BM31:CA31" si="24">BM29-BM30</f>
        <v>0</v>
      </c>
      <c r="BN31" s="164">
        <f t="shared" si="24"/>
        <v>0</v>
      </c>
      <c r="BO31" s="164">
        <f t="shared" si="24"/>
        <v>0</v>
      </c>
      <c r="BP31" s="164">
        <f t="shared" si="24"/>
        <v>0</v>
      </c>
      <c r="BQ31" s="164">
        <f t="shared" si="24"/>
        <v>0</v>
      </c>
      <c r="BR31" s="164">
        <f t="shared" si="24"/>
        <v>0</v>
      </c>
      <c r="BS31" s="164">
        <f t="shared" si="24"/>
        <v>0</v>
      </c>
      <c r="BT31" s="164">
        <f t="shared" si="24"/>
        <v>0</v>
      </c>
      <c r="BU31" s="164">
        <f t="shared" si="24"/>
        <v>0</v>
      </c>
      <c r="BV31" s="164">
        <f t="shared" si="24"/>
        <v>0</v>
      </c>
      <c r="BW31" s="164">
        <f t="shared" si="24"/>
        <v>0</v>
      </c>
      <c r="BX31" s="164">
        <f t="shared" si="24"/>
        <v>0</v>
      </c>
      <c r="BY31" s="164">
        <f t="shared" si="24"/>
        <v>0</v>
      </c>
      <c r="BZ31" s="164">
        <f t="shared" si="24"/>
        <v>0</v>
      </c>
      <c r="CA31" s="164">
        <f t="shared" si="24"/>
        <v>0</v>
      </c>
      <c r="CB31" s="85" t="s">
        <v>33</v>
      </c>
      <c r="CC31" s="87" t="s">
        <v>33</v>
      </c>
      <c r="CD31" s="163">
        <f t="shared" ref="CD31:CR31" si="25">CD29-CD30</f>
        <v>0</v>
      </c>
      <c r="CE31" s="164">
        <f t="shared" si="25"/>
        <v>0</v>
      </c>
      <c r="CF31" s="164">
        <f t="shared" si="25"/>
        <v>0</v>
      </c>
      <c r="CG31" s="164">
        <f t="shared" si="25"/>
        <v>0</v>
      </c>
      <c r="CH31" s="164">
        <f t="shared" si="25"/>
        <v>0</v>
      </c>
      <c r="CI31" s="164">
        <f t="shared" si="25"/>
        <v>0</v>
      </c>
      <c r="CJ31" s="164">
        <f t="shared" si="25"/>
        <v>0</v>
      </c>
      <c r="CK31" s="164">
        <f t="shared" si="25"/>
        <v>0</v>
      </c>
      <c r="CL31" s="164">
        <f t="shared" si="25"/>
        <v>0</v>
      </c>
      <c r="CM31" s="164">
        <f t="shared" si="25"/>
        <v>0</v>
      </c>
      <c r="CN31" s="164">
        <f t="shared" si="25"/>
        <v>0</v>
      </c>
      <c r="CO31" s="164">
        <f t="shared" si="25"/>
        <v>0</v>
      </c>
      <c r="CP31" s="164">
        <f t="shared" si="25"/>
        <v>0</v>
      </c>
      <c r="CQ31" s="164">
        <f t="shared" si="25"/>
        <v>0</v>
      </c>
      <c r="CR31" s="164">
        <f t="shared" si="25"/>
        <v>0</v>
      </c>
      <c r="CS31" s="85" t="s">
        <v>33</v>
      </c>
      <c r="CT31" s="87" t="s">
        <v>33</v>
      </c>
      <c r="CU31" s="163">
        <f t="shared" ref="CU31:DI31" si="26">CU29-CU30</f>
        <v>0</v>
      </c>
      <c r="CV31" s="164">
        <f t="shared" si="26"/>
        <v>0</v>
      </c>
      <c r="CW31" s="164">
        <f t="shared" si="26"/>
        <v>0</v>
      </c>
      <c r="CX31" s="164">
        <f t="shared" si="26"/>
        <v>0</v>
      </c>
      <c r="CY31" s="164">
        <f t="shared" si="26"/>
        <v>0</v>
      </c>
      <c r="CZ31" s="164">
        <f t="shared" si="26"/>
        <v>0</v>
      </c>
      <c r="DA31" s="164">
        <f t="shared" si="26"/>
        <v>0</v>
      </c>
      <c r="DB31" s="164">
        <f t="shared" si="26"/>
        <v>0</v>
      </c>
      <c r="DC31" s="164">
        <f t="shared" si="26"/>
        <v>0</v>
      </c>
      <c r="DD31" s="164">
        <f t="shared" si="26"/>
        <v>0</v>
      </c>
      <c r="DE31" s="164">
        <f t="shared" si="26"/>
        <v>0</v>
      </c>
      <c r="DF31" s="164">
        <f t="shared" si="26"/>
        <v>0</v>
      </c>
      <c r="DG31" s="164">
        <f t="shared" si="26"/>
        <v>0</v>
      </c>
      <c r="DH31" s="164">
        <f t="shared" si="26"/>
        <v>0</v>
      </c>
      <c r="DI31" s="164">
        <f t="shared" si="26"/>
        <v>0</v>
      </c>
      <c r="DJ31" s="85" t="s">
        <v>33</v>
      </c>
      <c r="DK31" s="87" t="s">
        <v>33</v>
      </c>
      <c r="DL31" s="163">
        <f t="shared" ref="DL31:DZ31" si="27">DL29-DL30</f>
        <v>0</v>
      </c>
      <c r="DM31" s="164">
        <f t="shared" si="27"/>
        <v>0</v>
      </c>
      <c r="DN31" s="164">
        <f t="shared" si="27"/>
        <v>0</v>
      </c>
      <c r="DO31" s="164">
        <f t="shared" si="27"/>
        <v>0</v>
      </c>
      <c r="DP31" s="164">
        <f t="shared" si="27"/>
        <v>0</v>
      </c>
      <c r="DQ31" s="164">
        <f t="shared" si="27"/>
        <v>0</v>
      </c>
      <c r="DR31" s="164">
        <f t="shared" si="27"/>
        <v>0</v>
      </c>
      <c r="DS31" s="164">
        <f t="shared" si="27"/>
        <v>0</v>
      </c>
      <c r="DT31" s="164">
        <f t="shared" si="27"/>
        <v>0</v>
      </c>
      <c r="DU31" s="164">
        <f t="shared" si="27"/>
        <v>0</v>
      </c>
      <c r="DV31" s="164">
        <f t="shared" si="27"/>
        <v>0</v>
      </c>
      <c r="DW31" s="164">
        <f t="shared" si="27"/>
        <v>0</v>
      </c>
      <c r="DX31" s="164">
        <f t="shared" si="27"/>
        <v>0</v>
      </c>
      <c r="DY31" s="164">
        <f t="shared" si="27"/>
        <v>0</v>
      </c>
      <c r="DZ31" s="164">
        <f t="shared" si="27"/>
        <v>0</v>
      </c>
      <c r="EA31" s="85" t="s">
        <v>33</v>
      </c>
      <c r="EB31" s="87" t="s">
        <v>33</v>
      </c>
      <c r="EC31" s="163">
        <f t="shared" ref="EC31:EQ31" si="28">EC29-EC30</f>
        <v>0</v>
      </c>
      <c r="ED31" s="164">
        <f t="shared" si="28"/>
        <v>0</v>
      </c>
      <c r="EE31" s="164">
        <f t="shared" si="28"/>
        <v>0</v>
      </c>
      <c r="EF31" s="164">
        <f t="shared" si="28"/>
        <v>0</v>
      </c>
      <c r="EG31" s="164">
        <f t="shared" si="28"/>
        <v>0</v>
      </c>
      <c r="EH31" s="164">
        <f t="shared" si="28"/>
        <v>0</v>
      </c>
      <c r="EI31" s="164">
        <f t="shared" si="28"/>
        <v>0</v>
      </c>
      <c r="EJ31" s="164">
        <f t="shared" si="28"/>
        <v>0</v>
      </c>
      <c r="EK31" s="164">
        <f t="shared" si="28"/>
        <v>0</v>
      </c>
      <c r="EL31" s="164">
        <f t="shared" si="28"/>
        <v>0</v>
      </c>
      <c r="EM31" s="164">
        <f t="shared" si="28"/>
        <v>0</v>
      </c>
      <c r="EN31" s="164">
        <f t="shared" si="28"/>
        <v>0</v>
      </c>
      <c r="EO31" s="164">
        <f t="shared" si="28"/>
        <v>0</v>
      </c>
      <c r="EP31" s="164">
        <f t="shared" si="28"/>
        <v>0</v>
      </c>
      <c r="EQ31" s="164">
        <f t="shared" si="28"/>
        <v>0</v>
      </c>
      <c r="ER31" s="85" t="s">
        <v>33</v>
      </c>
      <c r="ES31" s="87" t="s">
        <v>33</v>
      </c>
      <c r="ET31" s="165" t="s">
        <v>33</v>
      </c>
      <c r="EU31" s="111" t="s">
        <v>59</v>
      </c>
    </row>
    <row r="32" spans="2:151" ht="14.25" customHeight="1" thickBot="1" x14ac:dyDescent="0.25">
      <c r="B32" s="148"/>
      <c r="C32" s="166" t="s">
        <v>60</v>
      </c>
      <c r="D32" s="166"/>
      <c r="E32" s="166"/>
      <c r="F32" s="167"/>
      <c r="G32" s="168">
        <f>SUM(I32:X32,Y32:AA32)</f>
        <v>1769558</v>
      </c>
      <c r="H32" s="169"/>
      <c r="I32" s="170">
        <f t="shared" ref="I32:X32" si="29">SUM(AE32,AV32,BM32,CD32,CU32,DL32,EC32)</f>
        <v>1491980</v>
      </c>
      <c r="J32" s="171">
        <f t="shared" si="29"/>
        <v>0</v>
      </c>
      <c r="K32" s="171">
        <f t="shared" si="29"/>
        <v>0</v>
      </c>
      <c r="L32" s="171">
        <f t="shared" si="29"/>
        <v>277000</v>
      </c>
      <c r="M32" s="171">
        <f t="shared" si="29"/>
        <v>0</v>
      </c>
      <c r="N32" s="171">
        <f t="shared" si="29"/>
        <v>0</v>
      </c>
      <c r="O32" s="171">
        <f t="shared" si="29"/>
        <v>165</v>
      </c>
      <c r="P32" s="171">
        <f t="shared" si="29"/>
        <v>0</v>
      </c>
      <c r="Q32" s="171">
        <f t="shared" si="29"/>
        <v>0</v>
      </c>
      <c r="R32" s="171">
        <f t="shared" si="29"/>
        <v>1</v>
      </c>
      <c r="S32" s="171">
        <f t="shared" si="29"/>
        <v>0</v>
      </c>
      <c r="T32" s="171">
        <f t="shared" si="29"/>
        <v>0</v>
      </c>
      <c r="U32" s="171">
        <f t="shared" si="29"/>
        <v>412</v>
      </c>
      <c r="V32" s="171">
        <f t="shared" si="29"/>
        <v>0</v>
      </c>
      <c r="W32" s="171">
        <f t="shared" si="29"/>
        <v>0</v>
      </c>
      <c r="X32" s="171">
        <f t="shared" si="29"/>
        <v>0</v>
      </c>
      <c r="Y32" s="172"/>
      <c r="Z32" s="172"/>
      <c r="AA32" s="172"/>
      <c r="AB32" s="172"/>
      <c r="AC32" s="172"/>
      <c r="AD32" s="173">
        <v>7821</v>
      </c>
      <c r="AE32" s="174">
        <v>1491980</v>
      </c>
      <c r="AF32" s="175"/>
      <c r="AG32" s="175"/>
      <c r="AH32" s="175">
        <v>277000</v>
      </c>
      <c r="AI32" s="175"/>
      <c r="AJ32" s="175"/>
      <c r="AK32" s="175">
        <v>165</v>
      </c>
      <c r="AL32" s="176">
        <v>0</v>
      </c>
      <c r="AM32" s="176"/>
      <c r="AN32" s="176">
        <v>1</v>
      </c>
      <c r="AO32" s="176"/>
      <c r="AP32" s="175"/>
      <c r="AQ32" s="176">
        <v>412</v>
      </c>
      <c r="AR32" s="176"/>
      <c r="AS32" s="176"/>
      <c r="AT32" s="175"/>
      <c r="AU32" s="177"/>
      <c r="AV32" s="174"/>
      <c r="AW32" s="175"/>
      <c r="AX32" s="175"/>
      <c r="AY32" s="175"/>
      <c r="AZ32" s="175"/>
      <c r="BA32" s="175"/>
      <c r="BB32" s="175"/>
      <c r="BC32" s="176"/>
      <c r="BD32" s="176"/>
      <c r="BE32" s="176"/>
      <c r="BF32" s="176"/>
      <c r="BG32" s="175"/>
      <c r="BH32" s="176"/>
      <c r="BI32" s="176"/>
      <c r="BJ32" s="176"/>
      <c r="BK32" s="175"/>
      <c r="BL32" s="177"/>
      <c r="BM32" s="174"/>
      <c r="BN32" s="175"/>
      <c r="BO32" s="175"/>
      <c r="BP32" s="175"/>
      <c r="BQ32" s="175"/>
      <c r="BR32" s="175"/>
      <c r="BS32" s="175"/>
      <c r="BT32" s="176"/>
      <c r="BU32" s="176"/>
      <c r="BV32" s="176"/>
      <c r="BW32" s="176"/>
      <c r="BX32" s="175"/>
      <c r="BY32" s="176"/>
      <c r="BZ32" s="176"/>
      <c r="CA32" s="176"/>
      <c r="CB32" s="175"/>
      <c r="CC32" s="177"/>
      <c r="CD32" s="174"/>
      <c r="CE32" s="175"/>
      <c r="CF32" s="175"/>
      <c r="CG32" s="175"/>
      <c r="CH32" s="175"/>
      <c r="CI32" s="175"/>
      <c r="CJ32" s="175"/>
      <c r="CK32" s="176"/>
      <c r="CL32" s="176"/>
      <c r="CM32" s="176"/>
      <c r="CN32" s="176"/>
      <c r="CO32" s="175"/>
      <c r="CP32" s="176"/>
      <c r="CQ32" s="176"/>
      <c r="CR32" s="176"/>
      <c r="CS32" s="175"/>
      <c r="CT32" s="177"/>
      <c r="CU32" s="174"/>
      <c r="CV32" s="175"/>
      <c r="CW32" s="175"/>
      <c r="CX32" s="175"/>
      <c r="CY32" s="175"/>
      <c r="CZ32" s="175"/>
      <c r="DA32" s="175"/>
      <c r="DB32" s="176"/>
      <c r="DC32" s="176"/>
      <c r="DD32" s="176"/>
      <c r="DE32" s="176"/>
      <c r="DF32" s="175"/>
      <c r="DG32" s="176"/>
      <c r="DH32" s="176"/>
      <c r="DI32" s="176"/>
      <c r="DJ32" s="175"/>
      <c r="DK32" s="177"/>
      <c r="DL32" s="174"/>
      <c r="DM32" s="175"/>
      <c r="DN32" s="175"/>
      <c r="DO32" s="175"/>
      <c r="DP32" s="175"/>
      <c r="DQ32" s="175"/>
      <c r="DR32" s="175"/>
      <c r="DS32" s="176"/>
      <c r="DT32" s="176"/>
      <c r="DU32" s="176"/>
      <c r="DV32" s="176"/>
      <c r="DW32" s="175"/>
      <c r="DX32" s="176"/>
      <c r="DY32" s="176"/>
      <c r="DZ32" s="176"/>
      <c r="EA32" s="175"/>
      <c r="EB32" s="177"/>
      <c r="EC32" s="174"/>
      <c r="ED32" s="175"/>
      <c r="EE32" s="175"/>
      <c r="EF32" s="175"/>
      <c r="EG32" s="175"/>
      <c r="EH32" s="175"/>
      <c r="EI32" s="175"/>
      <c r="EJ32" s="176"/>
      <c r="EK32" s="176"/>
      <c r="EL32" s="176"/>
      <c r="EM32" s="176"/>
      <c r="EN32" s="175"/>
      <c r="EO32" s="176"/>
      <c r="EP32" s="176"/>
      <c r="EQ32" s="176"/>
      <c r="ER32" s="175"/>
      <c r="ES32" s="177"/>
      <c r="ET32" s="178" t="s">
        <v>33</v>
      </c>
      <c r="EU32" s="179" t="s">
        <v>61</v>
      </c>
    </row>
    <row r="33" spans="2:151" ht="14.25" customHeight="1" thickBot="1" x14ac:dyDescent="0.25">
      <c r="B33" s="148"/>
      <c r="C33" s="180" t="s">
        <v>62</v>
      </c>
      <c r="D33" s="181"/>
      <c r="E33" s="181"/>
      <c r="F33" s="182"/>
      <c r="G33" s="183" t="s">
        <v>33</v>
      </c>
      <c r="H33" s="184" t="str">
        <f t="shared" ref="H33" si="30">IFERROR(H29/H32,"-")</f>
        <v>-</v>
      </c>
      <c r="I33" s="185">
        <f t="shared" ref="I33:BT33" si="31">IFERROR(I29/I32,"0")</f>
        <v>-2.6663373503666564E-2</v>
      </c>
      <c r="J33" s="186" t="str">
        <f t="shared" si="31"/>
        <v>0</v>
      </c>
      <c r="K33" s="187" t="str">
        <f t="shared" si="31"/>
        <v>0</v>
      </c>
      <c r="L33" s="187">
        <f t="shared" si="31"/>
        <v>0.49488588447653437</v>
      </c>
      <c r="M33" s="187" t="str">
        <f t="shared" si="31"/>
        <v>0</v>
      </c>
      <c r="N33" s="187" t="str">
        <f t="shared" si="31"/>
        <v>0</v>
      </c>
      <c r="O33" s="187">
        <f t="shared" si="31"/>
        <v>-38.369454545454538</v>
      </c>
      <c r="P33" s="187" t="str">
        <f t="shared" si="31"/>
        <v>0</v>
      </c>
      <c r="Q33" s="187" t="str">
        <f t="shared" si="31"/>
        <v>0</v>
      </c>
      <c r="R33" s="187">
        <f t="shared" si="31"/>
        <v>1731.0889999999999</v>
      </c>
      <c r="S33" s="187" t="str">
        <f t="shared" si="31"/>
        <v>0</v>
      </c>
      <c r="T33" s="187" t="str">
        <f t="shared" si="31"/>
        <v>0</v>
      </c>
      <c r="U33" s="187">
        <f t="shared" si="31"/>
        <v>161.85429611650486</v>
      </c>
      <c r="V33" s="187" t="str">
        <f t="shared" si="31"/>
        <v>0</v>
      </c>
      <c r="W33" s="187" t="str">
        <f t="shared" si="31"/>
        <v>0</v>
      </c>
      <c r="X33" s="187" t="str">
        <f t="shared" si="31"/>
        <v>0</v>
      </c>
      <c r="Y33" s="187" t="str">
        <f t="shared" si="31"/>
        <v>0</v>
      </c>
      <c r="Z33" s="187" t="str">
        <f t="shared" si="31"/>
        <v>0</v>
      </c>
      <c r="AA33" s="187" t="str">
        <f t="shared" si="31"/>
        <v>0</v>
      </c>
      <c r="AB33" s="188" t="str">
        <f t="shared" si="31"/>
        <v>0</v>
      </c>
      <c r="AC33" s="187" t="str">
        <f t="shared" si="31"/>
        <v>0</v>
      </c>
      <c r="AD33" s="189">
        <f t="shared" si="31"/>
        <v>17.939974449047128</v>
      </c>
      <c r="AE33" s="185">
        <f t="shared" si="31"/>
        <v>-2.6663373503666564E-2</v>
      </c>
      <c r="AF33" s="186" t="str">
        <f t="shared" si="31"/>
        <v>0</v>
      </c>
      <c r="AG33" s="187" t="str">
        <f t="shared" si="31"/>
        <v>0</v>
      </c>
      <c r="AH33" s="187">
        <f t="shared" si="31"/>
        <v>0.49488588447653437</v>
      </c>
      <c r="AI33" s="187" t="str">
        <f t="shared" si="31"/>
        <v>0</v>
      </c>
      <c r="AJ33" s="187" t="str">
        <f t="shared" si="31"/>
        <v>0</v>
      </c>
      <c r="AK33" s="187">
        <f t="shared" si="31"/>
        <v>-38.369454545454538</v>
      </c>
      <c r="AL33" s="187" t="str">
        <f t="shared" si="31"/>
        <v>0</v>
      </c>
      <c r="AM33" s="187" t="str">
        <f t="shared" si="31"/>
        <v>0</v>
      </c>
      <c r="AN33" s="187">
        <f t="shared" si="31"/>
        <v>1731.0889999999999</v>
      </c>
      <c r="AO33" s="187" t="str">
        <f t="shared" si="31"/>
        <v>0</v>
      </c>
      <c r="AP33" s="187" t="str">
        <f t="shared" si="31"/>
        <v>0</v>
      </c>
      <c r="AQ33" s="187">
        <f t="shared" si="31"/>
        <v>161.85429611650486</v>
      </c>
      <c r="AR33" s="187" t="str">
        <f t="shared" si="31"/>
        <v>0</v>
      </c>
      <c r="AS33" s="187" t="str">
        <f t="shared" si="31"/>
        <v>0</v>
      </c>
      <c r="AT33" s="187" t="str">
        <f t="shared" si="31"/>
        <v>0</v>
      </c>
      <c r="AU33" s="190" t="str">
        <f t="shared" si="31"/>
        <v>0</v>
      </c>
      <c r="AV33" s="185" t="str">
        <f t="shared" si="31"/>
        <v>0</v>
      </c>
      <c r="AW33" s="186" t="str">
        <f t="shared" si="31"/>
        <v>0</v>
      </c>
      <c r="AX33" s="187" t="str">
        <f t="shared" si="31"/>
        <v>0</v>
      </c>
      <c r="AY33" s="187" t="str">
        <f t="shared" si="31"/>
        <v>0</v>
      </c>
      <c r="AZ33" s="187" t="str">
        <f t="shared" si="31"/>
        <v>0</v>
      </c>
      <c r="BA33" s="187" t="str">
        <f t="shared" si="31"/>
        <v>0</v>
      </c>
      <c r="BB33" s="187" t="str">
        <f t="shared" si="31"/>
        <v>0</v>
      </c>
      <c r="BC33" s="187" t="str">
        <f t="shared" si="31"/>
        <v>0</v>
      </c>
      <c r="BD33" s="187" t="str">
        <f t="shared" si="31"/>
        <v>0</v>
      </c>
      <c r="BE33" s="187" t="str">
        <f t="shared" si="31"/>
        <v>0</v>
      </c>
      <c r="BF33" s="187" t="str">
        <f t="shared" si="31"/>
        <v>0</v>
      </c>
      <c r="BG33" s="187" t="str">
        <f t="shared" si="31"/>
        <v>0</v>
      </c>
      <c r="BH33" s="187" t="str">
        <f t="shared" si="31"/>
        <v>0</v>
      </c>
      <c r="BI33" s="187" t="str">
        <f t="shared" si="31"/>
        <v>0</v>
      </c>
      <c r="BJ33" s="187" t="str">
        <f t="shared" si="31"/>
        <v>0</v>
      </c>
      <c r="BK33" s="187" t="str">
        <f t="shared" si="31"/>
        <v>0</v>
      </c>
      <c r="BL33" s="190" t="str">
        <f t="shared" si="31"/>
        <v>0</v>
      </c>
      <c r="BM33" s="185" t="str">
        <f t="shared" si="31"/>
        <v>0</v>
      </c>
      <c r="BN33" s="186" t="str">
        <f t="shared" si="31"/>
        <v>0</v>
      </c>
      <c r="BO33" s="187" t="str">
        <f t="shared" si="31"/>
        <v>0</v>
      </c>
      <c r="BP33" s="187" t="str">
        <f t="shared" si="31"/>
        <v>0</v>
      </c>
      <c r="BQ33" s="187" t="str">
        <f t="shared" si="31"/>
        <v>0</v>
      </c>
      <c r="BR33" s="187" t="str">
        <f t="shared" si="31"/>
        <v>0</v>
      </c>
      <c r="BS33" s="187" t="str">
        <f t="shared" si="31"/>
        <v>0</v>
      </c>
      <c r="BT33" s="187" t="str">
        <f t="shared" si="31"/>
        <v>0</v>
      </c>
      <c r="BU33" s="187" t="str">
        <f t="shared" ref="BU33:EF33" si="32">IFERROR(BU29/BU32,"0")</f>
        <v>0</v>
      </c>
      <c r="BV33" s="187" t="str">
        <f t="shared" si="32"/>
        <v>0</v>
      </c>
      <c r="BW33" s="187" t="str">
        <f t="shared" si="32"/>
        <v>0</v>
      </c>
      <c r="BX33" s="187" t="str">
        <f t="shared" si="32"/>
        <v>0</v>
      </c>
      <c r="BY33" s="187" t="str">
        <f t="shared" si="32"/>
        <v>0</v>
      </c>
      <c r="BZ33" s="187" t="str">
        <f t="shared" si="32"/>
        <v>0</v>
      </c>
      <c r="CA33" s="187" t="str">
        <f t="shared" si="32"/>
        <v>0</v>
      </c>
      <c r="CB33" s="187" t="str">
        <f t="shared" si="32"/>
        <v>0</v>
      </c>
      <c r="CC33" s="189" t="str">
        <f t="shared" si="32"/>
        <v>0</v>
      </c>
      <c r="CD33" s="185" t="str">
        <f t="shared" si="32"/>
        <v>0</v>
      </c>
      <c r="CE33" s="186" t="str">
        <f t="shared" si="32"/>
        <v>0</v>
      </c>
      <c r="CF33" s="187" t="str">
        <f t="shared" si="32"/>
        <v>0</v>
      </c>
      <c r="CG33" s="187" t="str">
        <f t="shared" si="32"/>
        <v>0</v>
      </c>
      <c r="CH33" s="187" t="str">
        <f t="shared" si="32"/>
        <v>0</v>
      </c>
      <c r="CI33" s="187" t="str">
        <f t="shared" si="32"/>
        <v>0</v>
      </c>
      <c r="CJ33" s="187" t="str">
        <f t="shared" si="32"/>
        <v>0</v>
      </c>
      <c r="CK33" s="187" t="str">
        <f t="shared" si="32"/>
        <v>0</v>
      </c>
      <c r="CL33" s="187" t="str">
        <f t="shared" si="32"/>
        <v>0</v>
      </c>
      <c r="CM33" s="187" t="str">
        <f t="shared" si="32"/>
        <v>0</v>
      </c>
      <c r="CN33" s="187" t="str">
        <f t="shared" si="32"/>
        <v>0</v>
      </c>
      <c r="CO33" s="187" t="str">
        <f t="shared" si="32"/>
        <v>0</v>
      </c>
      <c r="CP33" s="187" t="str">
        <f t="shared" si="32"/>
        <v>0</v>
      </c>
      <c r="CQ33" s="187" t="str">
        <f t="shared" si="32"/>
        <v>0</v>
      </c>
      <c r="CR33" s="187" t="str">
        <f t="shared" si="32"/>
        <v>0</v>
      </c>
      <c r="CS33" s="187" t="str">
        <f t="shared" si="32"/>
        <v>0</v>
      </c>
      <c r="CT33" s="190" t="str">
        <f t="shared" si="32"/>
        <v>0</v>
      </c>
      <c r="CU33" s="185" t="str">
        <f t="shared" si="32"/>
        <v>0</v>
      </c>
      <c r="CV33" s="186" t="str">
        <f t="shared" si="32"/>
        <v>0</v>
      </c>
      <c r="CW33" s="187" t="str">
        <f t="shared" si="32"/>
        <v>0</v>
      </c>
      <c r="CX33" s="187" t="str">
        <f t="shared" si="32"/>
        <v>0</v>
      </c>
      <c r="CY33" s="187" t="str">
        <f t="shared" si="32"/>
        <v>0</v>
      </c>
      <c r="CZ33" s="187" t="str">
        <f t="shared" si="32"/>
        <v>0</v>
      </c>
      <c r="DA33" s="187" t="str">
        <f t="shared" si="32"/>
        <v>0</v>
      </c>
      <c r="DB33" s="187" t="str">
        <f t="shared" si="32"/>
        <v>0</v>
      </c>
      <c r="DC33" s="187" t="str">
        <f t="shared" si="32"/>
        <v>0</v>
      </c>
      <c r="DD33" s="187" t="str">
        <f t="shared" si="32"/>
        <v>0</v>
      </c>
      <c r="DE33" s="187" t="str">
        <f t="shared" si="32"/>
        <v>0</v>
      </c>
      <c r="DF33" s="187" t="str">
        <f t="shared" si="32"/>
        <v>0</v>
      </c>
      <c r="DG33" s="187" t="str">
        <f t="shared" si="32"/>
        <v>0</v>
      </c>
      <c r="DH33" s="187" t="str">
        <f t="shared" si="32"/>
        <v>0</v>
      </c>
      <c r="DI33" s="187" t="str">
        <f t="shared" si="32"/>
        <v>0</v>
      </c>
      <c r="DJ33" s="187" t="str">
        <f t="shared" si="32"/>
        <v>0</v>
      </c>
      <c r="DK33" s="190" t="str">
        <f t="shared" si="32"/>
        <v>0</v>
      </c>
      <c r="DL33" s="185" t="str">
        <f t="shared" si="32"/>
        <v>0</v>
      </c>
      <c r="DM33" s="186" t="str">
        <f t="shared" si="32"/>
        <v>0</v>
      </c>
      <c r="DN33" s="187" t="str">
        <f t="shared" si="32"/>
        <v>0</v>
      </c>
      <c r="DO33" s="187" t="str">
        <f t="shared" si="32"/>
        <v>0</v>
      </c>
      <c r="DP33" s="187" t="str">
        <f t="shared" si="32"/>
        <v>0</v>
      </c>
      <c r="DQ33" s="187" t="str">
        <f t="shared" si="32"/>
        <v>0</v>
      </c>
      <c r="DR33" s="187" t="str">
        <f t="shared" si="32"/>
        <v>0</v>
      </c>
      <c r="DS33" s="187" t="str">
        <f t="shared" si="32"/>
        <v>0</v>
      </c>
      <c r="DT33" s="187" t="str">
        <f t="shared" si="32"/>
        <v>0</v>
      </c>
      <c r="DU33" s="187" t="str">
        <f t="shared" si="32"/>
        <v>0</v>
      </c>
      <c r="DV33" s="187" t="str">
        <f t="shared" si="32"/>
        <v>0</v>
      </c>
      <c r="DW33" s="187" t="str">
        <f t="shared" si="32"/>
        <v>0</v>
      </c>
      <c r="DX33" s="187" t="str">
        <f t="shared" si="32"/>
        <v>0</v>
      </c>
      <c r="DY33" s="187" t="str">
        <f t="shared" si="32"/>
        <v>0</v>
      </c>
      <c r="DZ33" s="187" t="str">
        <f t="shared" si="32"/>
        <v>0</v>
      </c>
      <c r="EA33" s="187" t="str">
        <f t="shared" si="32"/>
        <v>0</v>
      </c>
      <c r="EB33" s="190" t="str">
        <f t="shared" si="32"/>
        <v>0</v>
      </c>
      <c r="EC33" s="185" t="str">
        <f t="shared" si="32"/>
        <v>0</v>
      </c>
      <c r="ED33" s="186" t="str">
        <f t="shared" si="32"/>
        <v>0</v>
      </c>
      <c r="EE33" s="187" t="str">
        <f t="shared" si="32"/>
        <v>0</v>
      </c>
      <c r="EF33" s="187" t="str">
        <f t="shared" si="32"/>
        <v>0</v>
      </c>
      <c r="EG33" s="187" t="str">
        <f t="shared" ref="EG33:FN33" si="33">IFERROR(EG29/EG32,"0")</f>
        <v>0</v>
      </c>
      <c r="EH33" s="187" t="str">
        <f t="shared" si="33"/>
        <v>0</v>
      </c>
      <c r="EI33" s="187" t="str">
        <f t="shared" si="33"/>
        <v>0</v>
      </c>
      <c r="EJ33" s="187" t="str">
        <f t="shared" si="33"/>
        <v>0</v>
      </c>
      <c r="EK33" s="187" t="str">
        <f t="shared" si="33"/>
        <v>0</v>
      </c>
      <c r="EL33" s="187" t="str">
        <f t="shared" si="33"/>
        <v>0</v>
      </c>
      <c r="EM33" s="187" t="str">
        <f t="shared" si="33"/>
        <v>0</v>
      </c>
      <c r="EN33" s="187" t="str">
        <f t="shared" si="33"/>
        <v>0</v>
      </c>
      <c r="EO33" s="187" t="str">
        <f t="shared" si="33"/>
        <v>0</v>
      </c>
      <c r="EP33" s="187" t="str">
        <f t="shared" si="33"/>
        <v>0</v>
      </c>
      <c r="EQ33" s="187" t="str">
        <f t="shared" si="33"/>
        <v>0</v>
      </c>
      <c r="ER33" s="187" t="str">
        <f t="shared" si="33"/>
        <v>0</v>
      </c>
      <c r="ES33" s="190" t="str">
        <f t="shared" si="33"/>
        <v>0</v>
      </c>
      <c r="ET33" s="178" t="s">
        <v>33</v>
      </c>
      <c r="EU33" s="179" t="s">
        <v>63</v>
      </c>
    </row>
    <row r="36" spans="2:151" x14ac:dyDescent="0.2">
      <c r="B36" s="3" t="s">
        <v>64</v>
      </c>
      <c r="C36" s="7"/>
      <c r="D36" s="7"/>
      <c r="E36" s="7"/>
      <c r="F36" s="7"/>
      <c r="G36" s="7"/>
      <c r="EU36" s="191"/>
    </row>
    <row r="37" spans="2:151" ht="13.5" thickBot="1" x14ac:dyDescent="0.25">
      <c r="B37" s="7"/>
      <c r="C37" s="7"/>
      <c r="D37" s="7"/>
      <c r="E37" s="7"/>
      <c r="F37" s="7"/>
      <c r="EU37" s="192"/>
    </row>
    <row r="38" spans="2:151" ht="14.25" customHeight="1" x14ac:dyDescent="0.2">
      <c r="B38" s="9" t="s">
        <v>4</v>
      </c>
      <c r="C38" s="10"/>
      <c r="D38" s="10"/>
      <c r="E38" s="10"/>
      <c r="F38" s="193"/>
      <c r="G38" s="11" t="s">
        <v>5</v>
      </c>
      <c r="H38" s="12"/>
      <c r="I38" s="194" t="s">
        <v>6</v>
      </c>
      <c r="J38" s="195"/>
      <c r="K38" s="195"/>
      <c r="L38" s="195"/>
      <c r="M38" s="195"/>
      <c r="N38" s="195"/>
      <c r="O38" s="195"/>
      <c r="P38" s="195"/>
      <c r="Q38" s="195"/>
      <c r="R38" s="195"/>
      <c r="S38" s="195"/>
      <c r="T38" s="195"/>
      <c r="U38" s="195"/>
      <c r="V38" s="195"/>
      <c r="W38" s="195"/>
      <c r="X38" s="195"/>
      <c r="Y38" s="195"/>
      <c r="Z38" s="195"/>
      <c r="AA38" s="195"/>
      <c r="AB38" s="195"/>
      <c r="AC38" s="195"/>
      <c r="AD38" s="196"/>
      <c r="AE38" s="197" t="s">
        <v>65</v>
      </c>
      <c r="AF38" s="198"/>
      <c r="AG38" s="198"/>
      <c r="AH38" s="198"/>
      <c r="AI38" s="198"/>
      <c r="AJ38" s="198"/>
      <c r="AK38" s="198"/>
      <c r="AL38" s="198"/>
      <c r="AM38" s="198"/>
      <c r="AN38" s="198"/>
      <c r="AO38" s="198"/>
      <c r="AP38" s="198"/>
      <c r="AQ38" s="198"/>
      <c r="AR38" s="198"/>
      <c r="AS38" s="198"/>
      <c r="AT38" s="198"/>
      <c r="AU38" s="199"/>
      <c r="AV38" s="197" t="s">
        <v>66</v>
      </c>
      <c r="AW38" s="198"/>
      <c r="AX38" s="198"/>
      <c r="AY38" s="198"/>
      <c r="AZ38" s="198"/>
      <c r="BA38" s="198"/>
      <c r="BB38" s="198"/>
      <c r="BC38" s="198"/>
      <c r="BD38" s="198"/>
      <c r="BE38" s="198"/>
      <c r="BF38" s="198"/>
      <c r="BG38" s="198"/>
      <c r="BH38" s="198"/>
      <c r="BI38" s="198"/>
      <c r="BJ38" s="198"/>
      <c r="BK38" s="198"/>
      <c r="BL38" s="199"/>
      <c r="BM38" s="197" t="s">
        <v>67</v>
      </c>
      <c r="BN38" s="198"/>
      <c r="BO38" s="198"/>
      <c r="BP38" s="198"/>
      <c r="BQ38" s="198"/>
      <c r="BR38" s="198"/>
      <c r="BS38" s="198"/>
      <c r="BT38" s="198"/>
      <c r="BU38" s="198"/>
      <c r="BV38" s="198"/>
      <c r="BW38" s="198"/>
      <c r="BX38" s="198"/>
      <c r="BY38" s="198"/>
      <c r="BZ38" s="198"/>
      <c r="CA38" s="198"/>
      <c r="CB38" s="198"/>
      <c r="CC38" s="199"/>
      <c r="CD38" s="197" t="s">
        <v>68</v>
      </c>
      <c r="CE38" s="198"/>
      <c r="CF38" s="198"/>
      <c r="CG38" s="198"/>
      <c r="CH38" s="198"/>
      <c r="CI38" s="198"/>
      <c r="CJ38" s="198"/>
      <c r="CK38" s="198"/>
      <c r="CL38" s="198"/>
      <c r="CM38" s="198"/>
      <c r="CN38" s="198"/>
      <c r="CO38" s="198"/>
      <c r="CP38" s="198"/>
      <c r="CQ38" s="198"/>
      <c r="CR38" s="198"/>
      <c r="CS38" s="198"/>
      <c r="CT38" s="199"/>
      <c r="CU38" s="197" t="s">
        <v>69</v>
      </c>
      <c r="CV38" s="198"/>
      <c r="CW38" s="198"/>
      <c r="CX38" s="198"/>
      <c r="CY38" s="198"/>
      <c r="CZ38" s="198"/>
      <c r="DA38" s="198"/>
      <c r="DB38" s="198"/>
      <c r="DC38" s="198"/>
      <c r="DD38" s="198"/>
      <c r="DE38" s="198"/>
      <c r="DF38" s="198"/>
      <c r="DG38" s="198"/>
      <c r="DH38" s="198"/>
      <c r="DI38" s="198"/>
      <c r="DJ38" s="198"/>
      <c r="DK38" s="199"/>
      <c r="DL38" s="197" t="s">
        <v>70</v>
      </c>
      <c r="DM38" s="198"/>
      <c r="DN38" s="198"/>
      <c r="DO38" s="198"/>
      <c r="DP38" s="198"/>
      <c r="DQ38" s="198"/>
      <c r="DR38" s="198"/>
      <c r="DS38" s="198"/>
      <c r="DT38" s="198"/>
      <c r="DU38" s="198"/>
      <c r="DV38" s="198"/>
      <c r="DW38" s="198"/>
      <c r="DX38" s="198"/>
      <c r="DY38" s="198"/>
      <c r="DZ38" s="198"/>
      <c r="EA38" s="198"/>
      <c r="EB38" s="199"/>
      <c r="EC38" s="197" t="s">
        <v>71</v>
      </c>
      <c r="ED38" s="198"/>
      <c r="EE38" s="198"/>
      <c r="EF38" s="198"/>
      <c r="EG38" s="198"/>
      <c r="EH38" s="198"/>
      <c r="EI38" s="198"/>
      <c r="EJ38" s="198"/>
      <c r="EK38" s="198"/>
      <c r="EL38" s="198"/>
      <c r="EM38" s="198"/>
      <c r="EN38" s="198"/>
      <c r="EO38" s="198"/>
      <c r="EP38" s="198"/>
      <c r="EQ38" s="198"/>
      <c r="ER38" s="198"/>
      <c r="ES38" s="199"/>
      <c r="ET38" s="200" t="s">
        <v>7</v>
      </c>
      <c r="EU38" s="17" t="s">
        <v>8</v>
      </c>
    </row>
    <row r="39" spans="2:151" ht="14.25" customHeight="1" x14ac:dyDescent="0.2">
      <c r="B39" s="18"/>
      <c r="C39" s="19"/>
      <c r="D39" s="19"/>
      <c r="E39" s="19"/>
      <c r="F39" s="201"/>
      <c r="G39" s="20"/>
      <c r="H39" s="21"/>
      <c r="I39" s="22" t="s">
        <v>9</v>
      </c>
      <c r="J39" s="23"/>
      <c r="K39" s="24"/>
      <c r="L39" s="25" t="s">
        <v>10</v>
      </c>
      <c r="M39" s="23"/>
      <c r="N39" s="24"/>
      <c r="O39" s="26" t="s">
        <v>11</v>
      </c>
      <c r="P39" s="25" t="s">
        <v>12</v>
      </c>
      <c r="Q39" s="23"/>
      <c r="R39" s="23"/>
      <c r="S39" s="24"/>
      <c r="T39" s="26" t="s">
        <v>13</v>
      </c>
      <c r="U39" s="25" t="s">
        <v>14</v>
      </c>
      <c r="V39" s="23"/>
      <c r="W39" s="24"/>
      <c r="X39" s="26" t="s">
        <v>15</v>
      </c>
      <c r="Y39" s="25" t="s">
        <v>16</v>
      </c>
      <c r="Z39" s="23"/>
      <c r="AA39" s="24"/>
      <c r="AB39" s="27" t="s">
        <v>17</v>
      </c>
      <c r="AC39" s="28"/>
      <c r="AD39" s="29"/>
      <c r="AE39" s="22" t="s">
        <v>18</v>
      </c>
      <c r="AF39" s="23"/>
      <c r="AG39" s="24"/>
      <c r="AH39" s="25" t="s">
        <v>10</v>
      </c>
      <c r="AI39" s="23"/>
      <c r="AJ39" s="24"/>
      <c r="AK39" s="26" t="s">
        <v>19</v>
      </c>
      <c r="AL39" s="25" t="s">
        <v>12</v>
      </c>
      <c r="AM39" s="23"/>
      <c r="AN39" s="23"/>
      <c r="AO39" s="24"/>
      <c r="AP39" s="26" t="s">
        <v>13</v>
      </c>
      <c r="AQ39" s="25" t="s">
        <v>14</v>
      </c>
      <c r="AR39" s="23"/>
      <c r="AS39" s="24"/>
      <c r="AT39" s="30" t="s">
        <v>15</v>
      </c>
      <c r="AU39" s="31" t="s">
        <v>17</v>
      </c>
      <c r="AV39" s="22" t="s">
        <v>18</v>
      </c>
      <c r="AW39" s="23"/>
      <c r="AX39" s="24"/>
      <c r="AY39" s="25" t="s">
        <v>10</v>
      </c>
      <c r="AZ39" s="23"/>
      <c r="BA39" s="24"/>
      <c r="BB39" s="26" t="s">
        <v>19</v>
      </c>
      <c r="BC39" s="25" t="s">
        <v>12</v>
      </c>
      <c r="BD39" s="23"/>
      <c r="BE39" s="23"/>
      <c r="BF39" s="24"/>
      <c r="BG39" s="26" t="s">
        <v>13</v>
      </c>
      <c r="BH39" s="25" t="s">
        <v>14</v>
      </c>
      <c r="BI39" s="23"/>
      <c r="BJ39" s="24"/>
      <c r="BK39" s="30" t="s">
        <v>15</v>
      </c>
      <c r="BL39" s="31" t="s">
        <v>17</v>
      </c>
      <c r="BM39" s="22" t="s">
        <v>18</v>
      </c>
      <c r="BN39" s="23"/>
      <c r="BO39" s="24"/>
      <c r="BP39" s="25" t="s">
        <v>10</v>
      </c>
      <c r="BQ39" s="23"/>
      <c r="BR39" s="24"/>
      <c r="BS39" s="26" t="s">
        <v>19</v>
      </c>
      <c r="BT39" s="25" t="s">
        <v>12</v>
      </c>
      <c r="BU39" s="23"/>
      <c r="BV39" s="23"/>
      <c r="BW39" s="24"/>
      <c r="BX39" s="26" t="s">
        <v>13</v>
      </c>
      <c r="BY39" s="25" t="s">
        <v>14</v>
      </c>
      <c r="BZ39" s="23"/>
      <c r="CA39" s="24"/>
      <c r="CB39" s="30" t="s">
        <v>15</v>
      </c>
      <c r="CC39" s="31" t="s">
        <v>17</v>
      </c>
      <c r="CD39" s="22" t="s">
        <v>18</v>
      </c>
      <c r="CE39" s="23"/>
      <c r="CF39" s="24"/>
      <c r="CG39" s="25" t="s">
        <v>10</v>
      </c>
      <c r="CH39" s="23"/>
      <c r="CI39" s="24"/>
      <c r="CJ39" s="26" t="s">
        <v>19</v>
      </c>
      <c r="CK39" s="25" t="s">
        <v>12</v>
      </c>
      <c r="CL39" s="23"/>
      <c r="CM39" s="23"/>
      <c r="CN39" s="24"/>
      <c r="CO39" s="26" t="s">
        <v>13</v>
      </c>
      <c r="CP39" s="25" t="s">
        <v>14</v>
      </c>
      <c r="CQ39" s="23"/>
      <c r="CR39" s="24"/>
      <c r="CS39" s="30" t="s">
        <v>15</v>
      </c>
      <c r="CT39" s="31" t="s">
        <v>17</v>
      </c>
      <c r="CU39" s="22" t="s">
        <v>18</v>
      </c>
      <c r="CV39" s="23"/>
      <c r="CW39" s="24"/>
      <c r="CX39" s="25" t="s">
        <v>10</v>
      </c>
      <c r="CY39" s="23"/>
      <c r="CZ39" s="24"/>
      <c r="DA39" s="26" t="s">
        <v>19</v>
      </c>
      <c r="DB39" s="25" t="s">
        <v>12</v>
      </c>
      <c r="DC39" s="23"/>
      <c r="DD39" s="23"/>
      <c r="DE39" s="24"/>
      <c r="DF39" s="26" t="s">
        <v>13</v>
      </c>
      <c r="DG39" s="25" t="s">
        <v>14</v>
      </c>
      <c r="DH39" s="23"/>
      <c r="DI39" s="24"/>
      <c r="DJ39" s="30" t="s">
        <v>15</v>
      </c>
      <c r="DK39" s="31" t="s">
        <v>17</v>
      </c>
      <c r="DL39" s="22" t="s">
        <v>18</v>
      </c>
      <c r="DM39" s="23"/>
      <c r="DN39" s="24"/>
      <c r="DO39" s="25" t="s">
        <v>10</v>
      </c>
      <c r="DP39" s="23"/>
      <c r="DQ39" s="24"/>
      <c r="DR39" s="26" t="s">
        <v>19</v>
      </c>
      <c r="DS39" s="25" t="s">
        <v>12</v>
      </c>
      <c r="DT39" s="23"/>
      <c r="DU39" s="23"/>
      <c r="DV39" s="24"/>
      <c r="DW39" s="26" t="s">
        <v>13</v>
      </c>
      <c r="DX39" s="25" t="s">
        <v>14</v>
      </c>
      <c r="DY39" s="23"/>
      <c r="DZ39" s="24"/>
      <c r="EA39" s="30" t="s">
        <v>15</v>
      </c>
      <c r="EB39" s="31" t="s">
        <v>17</v>
      </c>
      <c r="EC39" s="22" t="s">
        <v>18</v>
      </c>
      <c r="ED39" s="23"/>
      <c r="EE39" s="24"/>
      <c r="EF39" s="25" t="s">
        <v>10</v>
      </c>
      <c r="EG39" s="23"/>
      <c r="EH39" s="24"/>
      <c r="EI39" s="26" t="s">
        <v>19</v>
      </c>
      <c r="EJ39" s="25" t="s">
        <v>12</v>
      </c>
      <c r="EK39" s="23"/>
      <c r="EL39" s="23"/>
      <c r="EM39" s="24"/>
      <c r="EN39" s="26" t="s">
        <v>13</v>
      </c>
      <c r="EO39" s="25" t="s">
        <v>14</v>
      </c>
      <c r="EP39" s="23"/>
      <c r="EQ39" s="24"/>
      <c r="ER39" s="30" t="s">
        <v>15</v>
      </c>
      <c r="ES39" s="31" t="s">
        <v>17</v>
      </c>
      <c r="ET39" s="202"/>
      <c r="EU39" s="33"/>
    </row>
    <row r="40" spans="2:151" ht="14.25" customHeight="1" x14ac:dyDescent="0.2">
      <c r="B40" s="18"/>
      <c r="C40" s="19"/>
      <c r="D40" s="19"/>
      <c r="E40" s="19"/>
      <c r="F40" s="201"/>
      <c r="G40" s="20"/>
      <c r="H40" s="21"/>
      <c r="I40" s="22"/>
      <c r="J40" s="23"/>
      <c r="K40" s="24"/>
      <c r="L40" s="25"/>
      <c r="M40" s="23"/>
      <c r="N40" s="24"/>
      <c r="O40" s="26"/>
      <c r="P40" s="25"/>
      <c r="Q40" s="23"/>
      <c r="R40" s="23"/>
      <c r="S40" s="24"/>
      <c r="T40" s="26"/>
      <c r="U40" s="25"/>
      <c r="V40" s="23"/>
      <c r="W40" s="24"/>
      <c r="X40" s="26"/>
      <c r="Y40" s="25"/>
      <c r="Z40" s="23"/>
      <c r="AA40" s="24"/>
      <c r="AB40" s="25"/>
      <c r="AC40" s="23"/>
      <c r="AD40" s="34"/>
      <c r="AE40" s="22"/>
      <c r="AF40" s="23"/>
      <c r="AG40" s="24"/>
      <c r="AH40" s="25"/>
      <c r="AI40" s="23"/>
      <c r="AJ40" s="24"/>
      <c r="AK40" s="26"/>
      <c r="AL40" s="25"/>
      <c r="AM40" s="23"/>
      <c r="AN40" s="23"/>
      <c r="AO40" s="24"/>
      <c r="AP40" s="26"/>
      <c r="AQ40" s="25"/>
      <c r="AR40" s="23"/>
      <c r="AS40" s="24"/>
      <c r="AT40" s="26"/>
      <c r="AU40" s="36"/>
      <c r="AV40" s="22"/>
      <c r="AW40" s="23"/>
      <c r="AX40" s="24"/>
      <c r="AY40" s="25"/>
      <c r="AZ40" s="23"/>
      <c r="BA40" s="24"/>
      <c r="BB40" s="26"/>
      <c r="BC40" s="25"/>
      <c r="BD40" s="23"/>
      <c r="BE40" s="23"/>
      <c r="BF40" s="24"/>
      <c r="BG40" s="26"/>
      <c r="BH40" s="25"/>
      <c r="BI40" s="23"/>
      <c r="BJ40" s="24"/>
      <c r="BK40" s="26"/>
      <c r="BL40" s="36"/>
      <c r="BM40" s="22"/>
      <c r="BN40" s="23"/>
      <c r="BO40" s="24"/>
      <c r="BP40" s="25"/>
      <c r="BQ40" s="23"/>
      <c r="BR40" s="24"/>
      <c r="BS40" s="26"/>
      <c r="BT40" s="25"/>
      <c r="BU40" s="23"/>
      <c r="BV40" s="23"/>
      <c r="BW40" s="24"/>
      <c r="BX40" s="26"/>
      <c r="BY40" s="25"/>
      <c r="BZ40" s="23"/>
      <c r="CA40" s="24"/>
      <c r="CB40" s="26"/>
      <c r="CC40" s="36"/>
      <c r="CD40" s="22"/>
      <c r="CE40" s="23"/>
      <c r="CF40" s="24"/>
      <c r="CG40" s="25"/>
      <c r="CH40" s="23"/>
      <c r="CI40" s="24"/>
      <c r="CJ40" s="26"/>
      <c r="CK40" s="25"/>
      <c r="CL40" s="23"/>
      <c r="CM40" s="23"/>
      <c r="CN40" s="24"/>
      <c r="CO40" s="26"/>
      <c r="CP40" s="25"/>
      <c r="CQ40" s="23"/>
      <c r="CR40" s="24"/>
      <c r="CS40" s="26"/>
      <c r="CT40" s="36"/>
      <c r="CU40" s="22"/>
      <c r="CV40" s="23"/>
      <c r="CW40" s="24"/>
      <c r="CX40" s="25"/>
      <c r="CY40" s="23"/>
      <c r="CZ40" s="24"/>
      <c r="DA40" s="26"/>
      <c r="DB40" s="25"/>
      <c r="DC40" s="23"/>
      <c r="DD40" s="23"/>
      <c r="DE40" s="24"/>
      <c r="DF40" s="26"/>
      <c r="DG40" s="25"/>
      <c r="DH40" s="23"/>
      <c r="DI40" s="24"/>
      <c r="DJ40" s="26"/>
      <c r="DK40" s="36"/>
      <c r="DL40" s="22"/>
      <c r="DM40" s="23"/>
      <c r="DN40" s="24"/>
      <c r="DO40" s="25"/>
      <c r="DP40" s="23"/>
      <c r="DQ40" s="24"/>
      <c r="DR40" s="26"/>
      <c r="DS40" s="25"/>
      <c r="DT40" s="23"/>
      <c r="DU40" s="23"/>
      <c r="DV40" s="24"/>
      <c r="DW40" s="26"/>
      <c r="DX40" s="25"/>
      <c r="DY40" s="23"/>
      <c r="DZ40" s="24"/>
      <c r="EA40" s="26"/>
      <c r="EB40" s="36"/>
      <c r="EC40" s="22"/>
      <c r="ED40" s="23"/>
      <c r="EE40" s="24"/>
      <c r="EF40" s="25"/>
      <c r="EG40" s="23"/>
      <c r="EH40" s="24"/>
      <c r="EI40" s="26"/>
      <c r="EJ40" s="25"/>
      <c r="EK40" s="23"/>
      <c r="EL40" s="23"/>
      <c r="EM40" s="24"/>
      <c r="EN40" s="26"/>
      <c r="EO40" s="25"/>
      <c r="EP40" s="23"/>
      <c r="EQ40" s="24"/>
      <c r="ER40" s="26"/>
      <c r="ES40" s="36"/>
      <c r="ET40" s="202"/>
      <c r="EU40" s="33"/>
    </row>
    <row r="41" spans="2:151" s="37" customFormat="1" ht="43.5" customHeight="1" x14ac:dyDescent="0.25">
      <c r="B41" s="18"/>
      <c r="C41" s="19"/>
      <c r="D41" s="19"/>
      <c r="E41" s="19"/>
      <c r="F41" s="201"/>
      <c r="G41" s="20"/>
      <c r="H41" s="21"/>
      <c r="I41" s="38"/>
      <c r="J41" s="39"/>
      <c r="K41" s="40"/>
      <c r="L41" s="41"/>
      <c r="M41" s="39"/>
      <c r="N41" s="40"/>
      <c r="O41" s="42"/>
      <c r="P41" s="41"/>
      <c r="Q41" s="39"/>
      <c r="R41" s="39"/>
      <c r="S41" s="40"/>
      <c r="T41" s="42"/>
      <c r="U41" s="41"/>
      <c r="V41" s="39"/>
      <c r="W41" s="40"/>
      <c r="X41" s="42"/>
      <c r="Y41" s="41"/>
      <c r="Z41" s="39"/>
      <c r="AA41" s="40"/>
      <c r="AB41" s="41"/>
      <c r="AC41" s="39"/>
      <c r="AD41" s="43"/>
      <c r="AE41" s="38"/>
      <c r="AF41" s="39"/>
      <c r="AG41" s="40"/>
      <c r="AH41" s="41"/>
      <c r="AI41" s="39"/>
      <c r="AJ41" s="40"/>
      <c r="AK41" s="42"/>
      <c r="AL41" s="41"/>
      <c r="AM41" s="39"/>
      <c r="AN41" s="39"/>
      <c r="AO41" s="40"/>
      <c r="AP41" s="42"/>
      <c r="AQ41" s="41"/>
      <c r="AR41" s="39"/>
      <c r="AS41" s="40"/>
      <c r="AT41" s="42"/>
      <c r="AU41" s="45"/>
      <c r="AV41" s="38"/>
      <c r="AW41" s="39"/>
      <c r="AX41" s="40"/>
      <c r="AY41" s="41"/>
      <c r="AZ41" s="39"/>
      <c r="BA41" s="40"/>
      <c r="BB41" s="42"/>
      <c r="BC41" s="41"/>
      <c r="BD41" s="39"/>
      <c r="BE41" s="39"/>
      <c r="BF41" s="40"/>
      <c r="BG41" s="42"/>
      <c r="BH41" s="41"/>
      <c r="BI41" s="39"/>
      <c r="BJ41" s="40"/>
      <c r="BK41" s="42"/>
      <c r="BL41" s="45"/>
      <c r="BM41" s="38"/>
      <c r="BN41" s="39"/>
      <c r="BO41" s="40"/>
      <c r="BP41" s="41"/>
      <c r="BQ41" s="39"/>
      <c r="BR41" s="40"/>
      <c r="BS41" s="42"/>
      <c r="BT41" s="41"/>
      <c r="BU41" s="39"/>
      <c r="BV41" s="39"/>
      <c r="BW41" s="40"/>
      <c r="BX41" s="42"/>
      <c r="BY41" s="41"/>
      <c r="BZ41" s="39"/>
      <c r="CA41" s="40"/>
      <c r="CB41" s="42"/>
      <c r="CC41" s="45"/>
      <c r="CD41" s="38"/>
      <c r="CE41" s="39"/>
      <c r="CF41" s="40"/>
      <c r="CG41" s="41"/>
      <c r="CH41" s="39"/>
      <c r="CI41" s="40"/>
      <c r="CJ41" s="42"/>
      <c r="CK41" s="41"/>
      <c r="CL41" s="39"/>
      <c r="CM41" s="39"/>
      <c r="CN41" s="40"/>
      <c r="CO41" s="42"/>
      <c r="CP41" s="41"/>
      <c r="CQ41" s="39"/>
      <c r="CR41" s="40"/>
      <c r="CS41" s="42"/>
      <c r="CT41" s="45"/>
      <c r="CU41" s="38"/>
      <c r="CV41" s="39"/>
      <c r="CW41" s="40"/>
      <c r="CX41" s="41"/>
      <c r="CY41" s="39"/>
      <c r="CZ41" s="40"/>
      <c r="DA41" s="42"/>
      <c r="DB41" s="41"/>
      <c r="DC41" s="39"/>
      <c r="DD41" s="39"/>
      <c r="DE41" s="40"/>
      <c r="DF41" s="42"/>
      <c r="DG41" s="41"/>
      <c r="DH41" s="39"/>
      <c r="DI41" s="40"/>
      <c r="DJ41" s="42"/>
      <c r="DK41" s="45"/>
      <c r="DL41" s="38"/>
      <c r="DM41" s="39"/>
      <c r="DN41" s="40"/>
      <c r="DO41" s="41"/>
      <c r="DP41" s="39"/>
      <c r="DQ41" s="40"/>
      <c r="DR41" s="42"/>
      <c r="DS41" s="41"/>
      <c r="DT41" s="39"/>
      <c r="DU41" s="39"/>
      <c r="DV41" s="40"/>
      <c r="DW41" s="42"/>
      <c r="DX41" s="41"/>
      <c r="DY41" s="39"/>
      <c r="DZ41" s="40"/>
      <c r="EA41" s="42"/>
      <c r="EB41" s="45"/>
      <c r="EC41" s="38"/>
      <c r="ED41" s="39"/>
      <c r="EE41" s="40"/>
      <c r="EF41" s="41"/>
      <c r="EG41" s="39"/>
      <c r="EH41" s="40"/>
      <c r="EI41" s="42"/>
      <c r="EJ41" s="41"/>
      <c r="EK41" s="39"/>
      <c r="EL41" s="39"/>
      <c r="EM41" s="40"/>
      <c r="EN41" s="42"/>
      <c r="EO41" s="41"/>
      <c r="EP41" s="39"/>
      <c r="EQ41" s="40"/>
      <c r="ER41" s="42"/>
      <c r="ES41" s="45"/>
      <c r="ET41" s="202"/>
      <c r="EU41" s="33"/>
    </row>
    <row r="42" spans="2:151" s="37" customFormat="1" ht="14.25" customHeight="1" x14ac:dyDescent="0.25">
      <c r="B42" s="18"/>
      <c r="C42" s="19"/>
      <c r="D42" s="19"/>
      <c r="E42" s="19"/>
      <c r="F42" s="201"/>
      <c r="G42" s="20"/>
      <c r="H42" s="21"/>
      <c r="I42" s="203" t="s">
        <v>20</v>
      </c>
      <c r="J42" s="204" t="s">
        <v>21</v>
      </c>
      <c r="K42" s="205" t="s">
        <v>72</v>
      </c>
      <c r="L42" s="204" t="s">
        <v>22</v>
      </c>
      <c r="M42" s="204" t="s">
        <v>23</v>
      </c>
      <c r="N42" s="205" t="s">
        <v>72</v>
      </c>
      <c r="O42" s="205" t="s">
        <v>72</v>
      </c>
      <c r="P42" s="204" t="s">
        <v>24</v>
      </c>
      <c r="Q42" s="204" t="s">
        <v>25</v>
      </c>
      <c r="R42" s="204" t="s">
        <v>26</v>
      </c>
      <c r="S42" s="205" t="s">
        <v>72</v>
      </c>
      <c r="T42" s="205" t="s">
        <v>72</v>
      </c>
      <c r="U42" s="204" t="s">
        <v>27</v>
      </c>
      <c r="V42" s="204" t="s">
        <v>28</v>
      </c>
      <c r="W42" s="205" t="s">
        <v>72</v>
      </c>
      <c r="X42" s="205" t="s">
        <v>72</v>
      </c>
      <c r="Y42" s="204" t="s">
        <v>73</v>
      </c>
      <c r="Z42" s="204" t="s">
        <v>74</v>
      </c>
      <c r="AA42" s="205" t="s">
        <v>72</v>
      </c>
      <c r="AB42" s="206" t="s">
        <v>73</v>
      </c>
      <c r="AC42" s="47" t="s">
        <v>31</v>
      </c>
      <c r="AD42" s="207" t="s">
        <v>72</v>
      </c>
      <c r="AE42" s="203" t="s">
        <v>20</v>
      </c>
      <c r="AF42" s="204" t="s">
        <v>21</v>
      </c>
      <c r="AG42" s="205" t="s">
        <v>72</v>
      </c>
      <c r="AH42" s="204" t="s">
        <v>22</v>
      </c>
      <c r="AI42" s="204" t="s">
        <v>23</v>
      </c>
      <c r="AJ42" s="205" t="s">
        <v>72</v>
      </c>
      <c r="AK42" s="205" t="s">
        <v>72</v>
      </c>
      <c r="AL42" s="204" t="s">
        <v>24</v>
      </c>
      <c r="AM42" s="204" t="s">
        <v>25</v>
      </c>
      <c r="AN42" s="204" t="s">
        <v>26</v>
      </c>
      <c r="AO42" s="205" t="s">
        <v>72</v>
      </c>
      <c r="AP42" s="205" t="s">
        <v>72</v>
      </c>
      <c r="AQ42" s="204" t="s">
        <v>27</v>
      </c>
      <c r="AR42" s="204" t="s">
        <v>28</v>
      </c>
      <c r="AS42" s="205" t="s">
        <v>72</v>
      </c>
      <c r="AT42" s="205" t="s">
        <v>72</v>
      </c>
      <c r="AU42" s="49" t="s">
        <v>31</v>
      </c>
      <c r="AV42" s="203" t="s">
        <v>20</v>
      </c>
      <c r="AW42" s="204" t="s">
        <v>21</v>
      </c>
      <c r="AX42" s="205" t="s">
        <v>72</v>
      </c>
      <c r="AY42" s="204" t="s">
        <v>22</v>
      </c>
      <c r="AZ42" s="204" t="s">
        <v>23</v>
      </c>
      <c r="BA42" s="205" t="s">
        <v>72</v>
      </c>
      <c r="BB42" s="205" t="s">
        <v>72</v>
      </c>
      <c r="BC42" s="204" t="s">
        <v>24</v>
      </c>
      <c r="BD42" s="204" t="s">
        <v>25</v>
      </c>
      <c r="BE42" s="204" t="s">
        <v>26</v>
      </c>
      <c r="BF42" s="205" t="s">
        <v>72</v>
      </c>
      <c r="BG42" s="205" t="s">
        <v>72</v>
      </c>
      <c r="BH42" s="204" t="s">
        <v>27</v>
      </c>
      <c r="BI42" s="204" t="s">
        <v>28</v>
      </c>
      <c r="BJ42" s="205" t="s">
        <v>72</v>
      </c>
      <c r="BK42" s="205" t="s">
        <v>72</v>
      </c>
      <c r="BL42" s="49" t="s">
        <v>31</v>
      </c>
      <c r="BM42" s="203" t="s">
        <v>20</v>
      </c>
      <c r="BN42" s="204" t="s">
        <v>21</v>
      </c>
      <c r="BO42" s="205" t="s">
        <v>72</v>
      </c>
      <c r="BP42" s="204" t="s">
        <v>22</v>
      </c>
      <c r="BQ42" s="204" t="s">
        <v>23</v>
      </c>
      <c r="BR42" s="205" t="s">
        <v>72</v>
      </c>
      <c r="BS42" s="205" t="s">
        <v>72</v>
      </c>
      <c r="BT42" s="204" t="s">
        <v>24</v>
      </c>
      <c r="BU42" s="204" t="s">
        <v>25</v>
      </c>
      <c r="BV42" s="204" t="s">
        <v>26</v>
      </c>
      <c r="BW42" s="205" t="s">
        <v>72</v>
      </c>
      <c r="BX42" s="205" t="s">
        <v>72</v>
      </c>
      <c r="BY42" s="204" t="s">
        <v>27</v>
      </c>
      <c r="BZ42" s="204" t="s">
        <v>28</v>
      </c>
      <c r="CA42" s="205" t="s">
        <v>72</v>
      </c>
      <c r="CB42" s="205" t="s">
        <v>72</v>
      </c>
      <c r="CC42" s="49" t="s">
        <v>31</v>
      </c>
      <c r="CD42" s="203" t="s">
        <v>20</v>
      </c>
      <c r="CE42" s="204" t="s">
        <v>21</v>
      </c>
      <c r="CF42" s="205" t="s">
        <v>72</v>
      </c>
      <c r="CG42" s="204" t="s">
        <v>22</v>
      </c>
      <c r="CH42" s="204" t="s">
        <v>23</v>
      </c>
      <c r="CI42" s="205" t="s">
        <v>72</v>
      </c>
      <c r="CJ42" s="205" t="s">
        <v>72</v>
      </c>
      <c r="CK42" s="204" t="s">
        <v>24</v>
      </c>
      <c r="CL42" s="204" t="s">
        <v>25</v>
      </c>
      <c r="CM42" s="204" t="s">
        <v>26</v>
      </c>
      <c r="CN42" s="205" t="s">
        <v>72</v>
      </c>
      <c r="CO42" s="205" t="s">
        <v>72</v>
      </c>
      <c r="CP42" s="204" t="s">
        <v>27</v>
      </c>
      <c r="CQ42" s="204" t="s">
        <v>28</v>
      </c>
      <c r="CR42" s="205" t="s">
        <v>72</v>
      </c>
      <c r="CS42" s="205" t="s">
        <v>72</v>
      </c>
      <c r="CT42" s="49" t="s">
        <v>31</v>
      </c>
      <c r="CU42" s="203" t="s">
        <v>20</v>
      </c>
      <c r="CV42" s="204" t="s">
        <v>21</v>
      </c>
      <c r="CW42" s="205" t="s">
        <v>72</v>
      </c>
      <c r="CX42" s="204" t="s">
        <v>22</v>
      </c>
      <c r="CY42" s="204" t="s">
        <v>23</v>
      </c>
      <c r="CZ42" s="205" t="s">
        <v>72</v>
      </c>
      <c r="DA42" s="205" t="s">
        <v>72</v>
      </c>
      <c r="DB42" s="204" t="s">
        <v>24</v>
      </c>
      <c r="DC42" s="204" t="s">
        <v>25</v>
      </c>
      <c r="DD42" s="204" t="s">
        <v>26</v>
      </c>
      <c r="DE42" s="205" t="s">
        <v>72</v>
      </c>
      <c r="DF42" s="205" t="s">
        <v>72</v>
      </c>
      <c r="DG42" s="204" t="s">
        <v>27</v>
      </c>
      <c r="DH42" s="204" t="s">
        <v>28</v>
      </c>
      <c r="DI42" s="205" t="s">
        <v>72</v>
      </c>
      <c r="DJ42" s="205" t="s">
        <v>72</v>
      </c>
      <c r="DK42" s="49" t="s">
        <v>31</v>
      </c>
      <c r="DL42" s="203" t="s">
        <v>20</v>
      </c>
      <c r="DM42" s="204" t="s">
        <v>21</v>
      </c>
      <c r="DN42" s="205" t="s">
        <v>72</v>
      </c>
      <c r="DO42" s="204" t="s">
        <v>22</v>
      </c>
      <c r="DP42" s="204" t="s">
        <v>23</v>
      </c>
      <c r="DQ42" s="205" t="s">
        <v>72</v>
      </c>
      <c r="DR42" s="205" t="s">
        <v>72</v>
      </c>
      <c r="DS42" s="204" t="s">
        <v>24</v>
      </c>
      <c r="DT42" s="204" t="s">
        <v>25</v>
      </c>
      <c r="DU42" s="204" t="s">
        <v>26</v>
      </c>
      <c r="DV42" s="205" t="s">
        <v>72</v>
      </c>
      <c r="DW42" s="205" t="s">
        <v>72</v>
      </c>
      <c r="DX42" s="204" t="s">
        <v>27</v>
      </c>
      <c r="DY42" s="204" t="s">
        <v>28</v>
      </c>
      <c r="DZ42" s="205" t="s">
        <v>72</v>
      </c>
      <c r="EA42" s="205" t="s">
        <v>72</v>
      </c>
      <c r="EB42" s="49" t="s">
        <v>31</v>
      </c>
      <c r="EC42" s="203" t="s">
        <v>20</v>
      </c>
      <c r="ED42" s="204" t="s">
        <v>21</v>
      </c>
      <c r="EE42" s="205" t="s">
        <v>72</v>
      </c>
      <c r="EF42" s="204" t="s">
        <v>22</v>
      </c>
      <c r="EG42" s="204" t="s">
        <v>23</v>
      </c>
      <c r="EH42" s="205" t="s">
        <v>72</v>
      </c>
      <c r="EI42" s="205" t="s">
        <v>72</v>
      </c>
      <c r="EJ42" s="204" t="s">
        <v>24</v>
      </c>
      <c r="EK42" s="204" t="s">
        <v>25</v>
      </c>
      <c r="EL42" s="204" t="s">
        <v>26</v>
      </c>
      <c r="EM42" s="205" t="s">
        <v>72</v>
      </c>
      <c r="EN42" s="205" t="s">
        <v>72</v>
      </c>
      <c r="EO42" s="204" t="s">
        <v>27</v>
      </c>
      <c r="EP42" s="204" t="s">
        <v>28</v>
      </c>
      <c r="EQ42" s="205" t="s">
        <v>72</v>
      </c>
      <c r="ER42" s="205" t="s">
        <v>72</v>
      </c>
      <c r="ES42" s="49" t="s">
        <v>31</v>
      </c>
      <c r="ET42" s="202"/>
      <c r="EU42" s="33"/>
    </row>
    <row r="43" spans="2:151" s="37" customFormat="1" ht="14.25" customHeight="1" x14ac:dyDescent="0.25">
      <c r="B43" s="18"/>
      <c r="C43" s="19"/>
      <c r="D43" s="19"/>
      <c r="E43" s="19"/>
      <c r="F43" s="201"/>
      <c r="G43" s="20"/>
      <c r="H43" s="21"/>
      <c r="I43" s="208"/>
      <c r="J43" s="209"/>
      <c r="K43" s="210"/>
      <c r="L43" s="209"/>
      <c r="M43" s="209"/>
      <c r="N43" s="210"/>
      <c r="O43" s="210"/>
      <c r="P43" s="209"/>
      <c r="Q43" s="209"/>
      <c r="R43" s="209"/>
      <c r="S43" s="210"/>
      <c r="T43" s="210"/>
      <c r="U43" s="209"/>
      <c r="V43" s="209"/>
      <c r="W43" s="210"/>
      <c r="X43" s="210"/>
      <c r="Y43" s="209"/>
      <c r="Z43" s="209"/>
      <c r="AA43" s="210"/>
      <c r="AB43" s="211"/>
      <c r="AC43" s="52"/>
      <c r="AD43" s="212"/>
      <c r="AE43" s="208"/>
      <c r="AF43" s="209"/>
      <c r="AG43" s="210"/>
      <c r="AH43" s="209"/>
      <c r="AI43" s="209"/>
      <c r="AJ43" s="210"/>
      <c r="AK43" s="210"/>
      <c r="AL43" s="209"/>
      <c r="AM43" s="209"/>
      <c r="AN43" s="209"/>
      <c r="AO43" s="210"/>
      <c r="AP43" s="210"/>
      <c r="AQ43" s="209"/>
      <c r="AR43" s="209"/>
      <c r="AS43" s="210"/>
      <c r="AT43" s="210"/>
      <c r="AU43" s="36"/>
      <c r="AV43" s="208"/>
      <c r="AW43" s="209"/>
      <c r="AX43" s="210"/>
      <c r="AY43" s="209"/>
      <c r="AZ43" s="209"/>
      <c r="BA43" s="210"/>
      <c r="BB43" s="210"/>
      <c r="BC43" s="209"/>
      <c r="BD43" s="209"/>
      <c r="BE43" s="209"/>
      <c r="BF43" s="210"/>
      <c r="BG43" s="210"/>
      <c r="BH43" s="209"/>
      <c r="BI43" s="209"/>
      <c r="BJ43" s="210"/>
      <c r="BK43" s="210"/>
      <c r="BL43" s="36"/>
      <c r="BM43" s="208"/>
      <c r="BN43" s="209"/>
      <c r="BO43" s="210"/>
      <c r="BP43" s="209"/>
      <c r="BQ43" s="209"/>
      <c r="BR43" s="210"/>
      <c r="BS43" s="210"/>
      <c r="BT43" s="209"/>
      <c r="BU43" s="209"/>
      <c r="BV43" s="209"/>
      <c r="BW43" s="210"/>
      <c r="BX43" s="210"/>
      <c r="BY43" s="209"/>
      <c r="BZ43" s="209"/>
      <c r="CA43" s="210"/>
      <c r="CB43" s="210"/>
      <c r="CC43" s="36"/>
      <c r="CD43" s="208"/>
      <c r="CE43" s="209"/>
      <c r="CF43" s="210"/>
      <c r="CG43" s="209"/>
      <c r="CH43" s="209"/>
      <c r="CI43" s="210"/>
      <c r="CJ43" s="210"/>
      <c r="CK43" s="209"/>
      <c r="CL43" s="209"/>
      <c r="CM43" s="209"/>
      <c r="CN43" s="210"/>
      <c r="CO43" s="210"/>
      <c r="CP43" s="209"/>
      <c r="CQ43" s="209"/>
      <c r="CR43" s="210"/>
      <c r="CS43" s="210"/>
      <c r="CT43" s="36"/>
      <c r="CU43" s="208"/>
      <c r="CV43" s="209"/>
      <c r="CW43" s="210"/>
      <c r="CX43" s="209"/>
      <c r="CY43" s="209"/>
      <c r="CZ43" s="210"/>
      <c r="DA43" s="210"/>
      <c r="DB43" s="209"/>
      <c r="DC43" s="209"/>
      <c r="DD43" s="209"/>
      <c r="DE43" s="210"/>
      <c r="DF43" s="210"/>
      <c r="DG43" s="209"/>
      <c r="DH43" s="209"/>
      <c r="DI43" s="210"/>
      <c r="DJ43" s="210"/>
      <c r="DK43" s="36"/>
      <c r="DL43" s="208"/>
      <c r="DM43" s="209"/>
      <c r="DN43" s="210"/>
      <c r="DO43" s="209"/>
      <c r="DP43" s="209"/>
      <c r="DQ43" s="210"/>
      <c r="DR43" s="210"/>
      <c r="DS43" s="209"/>
      <c r="DT43" s="209"/>
      <c r="DU43" s="209"/>
      <c r="DV43" s="210"/>
      <c r="DW43" s="210"/>
      <c r="DX43" s="209"/>
      <c r="DY43" s="209"/>
      <c r="DZ43" s="210"/>
      <c r="EA43" s="210"/>
      <c r="EB43" s="36"/>
      <c r="EC43" s="208"/>
      <c r="ED43" s="209"/>
      <c r="EE43" s="210"/>
      <c r="EF43" s="209"/>
      <c r="EG43" s="209"/>
      <c r="EH43" s="210"/>
      <c r="EI43" s="210"/>
      <c r="EJ43" s="209"/>
      <c r="EK43" s="209"/>
      <c r="EL43" s="209"/>
      <c r="EM43" s="210"/>
      <c r="EN43" s="210"/>
      <c r="EO43" s="209"/>
      <c r="EP43" s="209"/>
      <c r="EQ43" s="210"/>
      <c r="ER43" s="210"/>
      <c r="ES43" s="36"/>
      <c r="ET43" s="202"/>
      <c r="EU43" s="33"/>
    </row>
    <row r="44" spans="2:151" s="37" customFormat="1" ht="14.25" customHeight="1" x14ac:dyDescent="0.25">
      <c r="B44" s="18"/>
      <c r="C44" s="19"/>
      <c r="D44" s="19"/>
      <c r="E44" s="19"/>
      <c r="F44" s="201"/>
      <c r="G44" s="20"/>
      <c r="H44" s="21"/>
      <c r="I44" s="208"/>
      <c r="J44" s="209"/>
      <c r="K44" s="210"/>
      <c r="L44" s="209"/>
      <c r="M44" s="209"/>
      <c r="N44" s="210"/>
      <c r="O44" s="210"/>
      <c r="P44" s="209"/>
      <c r="Q44" s="209"/>
      <c r="R44" s="209"/>
      <c r="S44" s="210"/>
      <c r="T44" s="210"/>
      <c r="U44" s="209"/>
      <c r="V44" s="209"/>
      <c r="W44" s="210"/>
      <c r="X44" s="210"/>
      <c r="Y44" s="209"/>
      <c r="Z44" s="209"/>
      <c r="AA44" s="210"/>
      <c r="AB44" s="211"/>
      <c r="AC44" s="52"/>
      <c r="AD44" s="212"/>
      <c r="AE44" s="208"/>
      <c r="AF44" s="209"/>
      <c r="AG44" s="210"/>
      <c r="AH44" s="209"/>
      <c r="AI44" s="209"/>
      <c r="AJ44" s="210"/>
      <c r="AK44" s="210"/>
      <c r="AL44" s="209"/>
      <c r="AM44" s="209"/>
      <c r="AN44" s="209"/>
      <c r="AO44" s="210"/>
      <c r="AP44" s="210"/>
      <c r="AQ44" s="209"/>
      <c r="AR44" s="209"/>
      <c r="AS44" s="210"/>
      <c r="AT44" s="210"/>
      <c r="AU44" s="36"/>
      <c r="AV44" s="208"/>
      <c r="AW44" s="209"/>
      <c r="AX44" s="210"/>
      <c r="AY44" s="209"/>
      <c r="AZ44" s="209"/>
      <c r="BA44" s="210"/>
      <c r="BB44" s="210"/>
      <c r="BC44" s="209"/>
      <c r="BD44" s="209"/>
      <c r="BE44" s="209"/>
      <c r="BF44" s="210"/>
      <c r="BG44" s="210"/>
      <c r="BH44" s="209"/>
      <c r="BI44" s="209"/>
      <c r="BJ44" s="210"/>
      <c r="BK44" s="210"/>
      <c r="BL44" s="36"/>
      <c r="BM44" s="208"/>
      <c r="BN44" s="209"/>
      <c r="BO44" s="210"/>
      <c r="BP44" s="209"/>
      <c r="BQ44" s="209"/>
      <c r="BR44" s="210"/>
      <c r="BS44" s="210"/>
      <c r="BT44" s="209"/>
      <c r="BU44" s="209"/>
      <c r="BV44" s="209"/>
      <c r="BW44" s="210"/>
      <c r="BX44" s="210"/>
      <c r="BY44" s="209"/>
      <c r="BZ44" s="209"/>
      <c r="CA44" s="210"/>
      <c r="CB44" s="210"/>
      <c r="CC44" s="36"/>
      <c r="CD44" s="208"/>
      <c r="CE44" s="209"/>
      <c r="CF44" s="210"/>
      <c r="CG44" s="209"/>
      <c r="CH44" s="209"/>
      <c r="CI44" s="210"/>
      <c r="CJ44" s="210"/>
      <c r="CK44" s="209"/>
      <c r="CL44" s="209"/>
      <c r="CM44" s="209"/>
      <c r="CN44" s="210"/>
      <c r="CO44" s="210"/>
      <c r="CP44" s="209"/>
      <c r="CQ44" s="209"/>
      <c r="CR44" s="210"/>
      <c r="CS44" s="210"/>
      <c r="CT44" s="36"/>
      <c r="CU44" s="208"/>
      <c r="CV44" s="209"/>
      <c r="CW44" s="210"/>
      <c r="CX44" s="209"/>
      <c r="CY44" s="209"/>
      <c r="CZ44" s="210"/>
      <c r="DA44" s="210"/>
      <c r="DB44" s="209"/>
      <c r="DC44" s="209"/>
      <c r="DD44" s="209"/>
      <c r="DE44" s="210"/>
      <c r="DF44" s="210"/>
      <c r="DG44" s="209"/>
      <c r="DH44" s="209"/>
      <c r="DI44" s="210"/>
      <c r="DJ44" s="210"/>
      <c r="DK44" s="36"/>
      <c r="DL44" s="208"/>
      <c r="DM44" s="209"/>
      <c r="DN44" s="210"/>
      <c r="DO44" s="209"/>
      <c r="DP44" s="209"/>
      <c r="DQ44" s="210"/>
      <c r="DR44" s="210"/>
      <c r="DS44" s="209"/>
      <c r="DT44" s="209"/>
      <c r="DU44" s="209"/>
      <c r="DV44" s="210"/>
      <c r="DW44" s="210"/>
      <c r="DX44" s="209"/>
      <c r="DY44" s="209"/>
      <c r="DZ44" s="210"/>
      <c r="EA44" s="210"/>
      <c r="EB44" s="36"/>
      <c r="EC44" s="208"/>
      <c r="ED44" s="209"/>
      <c r="EE44" s="210"/>
      <c r="EF44" s="209"/>
      <c r="EG44" s="209"/>
      <c r="EH44" s="210"/>
      <c r="EI44" s="210"/>
      <c r="EJ44" s="209"/>
      <c r="EK44" s="209"/>
      <c r="EL44" s="209"/>
      <c r="EM44" s="210"/>
      <c r="EN44" s="210"/>
      <c r="EO44" s="209"/>
      <c r="EP44" s="209"/>
      <c r="EQ44" s="210"/>
      <c r="ER44" s="210"/>
      <c r="ES44" s="36"/>
      <c r="ET44" s="202"/>
      <c r="EU44" s="33"/>
    </row>
    <row r="45" spans="2:151" s="37" customFormat="1" ht="48" customHeight="1" thickBot="1" x14ac:dyDescent="0.3">
      <c r="B45" s="18"/>
      <c r="C45" s="19"/>
      <c r="D45" s="19"/>
      <c r="E45" s="19"/>
      <c r="F45" s="201"/>
      <c r="G45" s="20"/>
      <c r="H45" s="21"/>
      <c r="I45" s="208"/>
      <c r="J45" s="209"/>
      <c r="K45" s="210"/>
      <c r="L45" s="209"/>
      <c r="M45" s="209"/>
      <c r="N45" s="210"/>
      <c r="O45" s="210"/>
      <c r="P45" s="209"/>
      <c r="Q45" s="209"/>
      <c r="R45" s="209"/>
      <c r="S45" s="210"/>
      <c r="T45" s="210"/>
      <c r="U45" s="209"/>
      <c r="V45" s="209"/>
      <c r="W45" s="210"/>
      <c r="X45" s="210"/>
      <c r="Y45" s="209"/>
      <c r="Z45" s="209"/>
      <c r="AA45" s="210"/>
      <c r="AB45" s="211"/>
      <c r="AC45" s="52"/>
      <c r="AD45" s="212"/>
      <c r="AE45" s="208"/>
      <c r="AF45" s="209"/>
      <c r="AG45" s="210"/>
      <c r="AH45" s="209"/>
      <c r="AI45" s="209"/>
      <c r="AJ45" s="210"/>
      <c r="AK45" s="210"/>
      <c r="AL45" s="209"/>
      <c r="AM45" s="209"/>
      <c r="AN45" s="209"/>
      <c r="AO45" s="210"/>
      <c r="AP45" s="210"/>
      <c r="AQ45" s="209"/>
      <c r="AR45" s="209"/>
      <c r="AS45" s="210"/>
      <c r="AT45" s="210"/>
      <c r="AU45" s="36"/>
      <c r="AV45" s="208"/>
      <c r="AW45" s="209"/>
      <c r="AX45" s="210"/>
      <c r="AY45" s="209"/>
      <c r="AZ45" s="209"/>
      <c r="BA45" s="210"/>
      <c r="BB45" s="210"/>
      <c r="BC45" s="209"/>
      <c r="BD45" s="209"/>
      <c r="BE45" s="209"/>
      <c r="BF45" s="210"/>
      <c r="BG45" s="210"/>
      <c r="BH45" s="209"/>
      <c r="BI45" s="209"/>
      <c r="BJ45" s="210"/>
      <c r="BK45" s="210"/>
      <c r="BL45" s="36"/>
      <c r="BM45" s="208"/>
      <c r="BN45" s="209"/>
      <c r="BO45" s="210"/>
      <c r="BP45" s="209"/>
      <c r="BQ45" s="209"/>
      <c r="BR45" s="210"/>
      <c r="BS45" s="210"/>
      <c r="BT45" s="209"/>
      <c r="BU45" s="209"/>
      <c r="BV45" s="209"/>
      <c r="BW45" s="210"/>
      <c r="BX45" s="210"/>
      <c r="BY45" s="209"/>
      <c r="BZ45" s="209"/>
      <c r="CA45" s="210"/>
      <c r="CB45" s="210"/>
      <c r="CC45" s="36"/>
      <c r="CD45" s="208"/>
      <c r="CE45" s="209"/>
      <c r="CF45" s="210"/>
      <c r="CG45" s="209"/>
      <c r="CH45" s="209"/>
      <c r="CI45" s="210"/>
      <c r="CJ45" s="210"/>
      <c r="CK45" s="209"/>
      <c r="CL45" s="209"/>
      <c r="CM45" s="209"/>
      <c r="CN45" s="210"/>
      <c r="CO45" s="210"/>
      <c r="CP45" s="209"/>
      <c r="CQ45" s="209"/>
      <c r="CR45" s="210"/>
      <c r="CS45" s="210"/>
      <c r="CT45" s="36"/>
      <c r="CU45" s="208"/>
      <c r="CV45" s="209"/>
      <c r="CW45" s="210"/>
      <c r="CX45" s="209"/>
      <c r="CY45" s="209"/>
      <c r="CZ45" s="210"/>
      <c r="DA45" s="210"/>
      <c r="DB45" s="209"/>
      <c r="DC45" s="209"/>
      <c r="DD45" s="209"/>
      <c r="DE45" s="210"/>
      <c r="DF45" s="210"/>
      <c r="DG45" s="209"/>
      <c r="DH45" s="209"/>
      <c r="DI45" s="210"/>
      <c r="DJ45" s="210"/>
      <c r="DK45" s="36"/>
      <c r="DL45" s="208"/>
      <c r="DM45" s="209"/>
      <c r="DN45" s="210"/>
      <c r="DO45" s="209"/>
      <c r="DP45" s="209"/>
      <c r="DQ45" s="210"/>
      <c r="DR45" s="210"/>
      <c r="DS45" s="209"/>
      <c r="DT45" s="209"/>
      <c r="DU45" s="209"/>
      <c r="DV45" s="210"/>
      <c r="DW45" s="210"/>
      <c r="DX45" s="209"/>
      <c r="DY45" s="209"/>
      <c r="DZ45" s="210"/>
      <c r="EA45" s="210"/>
      <c r="EB45" s="36"/>
      <c r="EC45" s="208"/>
      <c r="ED45" s="209"/>
      <c r="EE45" s="210"/>
      <c r="EF45" s="209"/>
      <c r="EG45" s="209"/>
      <c r="EH45" s="210"/>
      <c r="EI45" s="210"/>
      <c r="EJ45" s="209"/>
      <c r="EK45" s="209"/>
      <c r="EL45" s="209"/>
      <c r="EM45" s="210"/>
      <c r="EN45" s="210"/>
      <c r="EO45" s="209"/>
      <c r="EP45" s="209"/>
      <c r="EQ45" s="210"/>
      <c r="ER45" s="210"/>
      <c r="ES45" s="36"/>
      <c r="ET45" s="202"/>
      <c r="EU45" s="213"/>
    </row>
    <row r="46" spans="2:151" ht="14.25" customHeight="1" x14ac:dyDescent="0.2">
      <c r="B46" s="55"/>
      <c r="C46" s="57" t="s">
        <v>32</v>
      </c>
      <c r="D46" s="154"/>
      <c r="E46" s="154"/>
      <c r="F46" s="155"/>
      <c r="G46" s="58">
        <f>SUM(G48,G51:G53,AB47,AC47)</f>
        <v>2776454</v>
      </c>
      <c r="H46" s="59">
        <f>SUM(H48:H52)</f>
        <v>0</v>
      </c>
      <c r="I46" s="60">
        <f>SUM(I48,I51:I53)</f>
        <v>1292829</v>
      </c>
      <c r="J46" s="61">
        <f t="shared" ref="J46:BP46" si="34">SUM(J48,J51:J53)</f>
        <v>0</v>
      </c>
      <c r="K46" s="61">
        <f t="shared" si="34"/>
        <v>0</v>
      </c>
      <c r="L46" s="61">
        <f t="shared" si="34"/>
        <v>214942</v>
      </c>
      <c r="M46" s="61">
        <f t="shared" si="34"/>
        <v>0</v>
      </c>
      <c r="N46" s="61">
        <f t="shared" si="34"/>
        <v>0</v>
      </c>
      <c r="O46" s="61">
        <f>SUM(O48,O51:O53)</f>
        <v>27893</v>
      </c>
      <c r="P46" s="61">
        <f t="shared" si="34"/>
        <v>7317</v>
      </c>
      <c r="Q46" s="61">
        <f t="shared" si="34"/>
        <v>0</v>
      </c>
      <c r="R46" s="61">
        <f t="shared" si="34"/>
        <v>2227</v>
      </c>
      <c r="S46" s="61">
        <f t="shared" si="34"/>
        <v>0</v>
      </c>
      <c r="T46" s="61">
        <f t="shared" si="34"/>
        <v>0</v>
      </c>
      <c r="U46" s="61">
        <f t="shared" si="34"/>
        <v>154306</v>
      </c>
      <c r="V46" s="61">
        <f t="shared" si="34"/>
        <v>0</v>
      </c>
      <c r="W46" s="61">
        <f t="shared" si="34"/>
        <v>0</v>
      </c>
      <c r="X46" s="61">
        <f t="shared" si="34"/>
        <v>0</v>
      </c>
      <c r="Y46" s="61">
        <f>SUM(Y48,Y51:Y52)</f>
        <v>0</v>
      </c>
      <c r="Z46" s="61">
        <f t="shared" ref="Z46:AA46" si="35">SUM(Z48,Z51:Z52)</f>
        <v>0</v>
      </c>
      <c r="AA46" s="61">
        <f t="shared" si="35"/>
        <v>0</v>
      </c>
      <c r="AB46" s="61">
        <f t="shared" ref="AB46:AC46" si="36">SUM(AB51:AB52)</f>
        <v>0</v>
      </c>
      <c r="AC46" s="61">
        <f t="shared" si="36"/>
        <v>0</v>
      </c>
      <c r="AD46" s="62">
        <f>SUM(AD51:AD52)</f>
        <v>1076940</v>
      </c>
      <c r="AE46" s="60">
        <f t="shared" si="34"/>
        <v>1292829</v>
      </c>
      <c r="AF46" s="61">
        <f t="shared" si="34"/>
        <v>0</v>
      </c>
      <c r="AG46" s="61">
        <f>SUM(AG48,AG51:AG52)</f>
        <v>0</v>
      </c>
      <c r="AH46" s="61">
        <f t="shared" si="34"/>
        <v>214942</v>
      </c>
      <c r="AI46" s="61">
        <f>SUM(AI48,AI51:AI52)</f>
        <v>0</v>
      </c>
      <c r="AJ46" s="61">
        <f t="shared" ref="AJ46:AS46" si="37">SUM(AJ48,AJ51:AJ52)</f>
        <v>0</v>
      </c>
      <c r="AK46" s="61">
        <f t="shared" si="37"/>
        <v>27893</v>
      </c>
      <c r="AL46" s="61">
        <f t="shared" si="37"/>
        <v>7317</v>
      </c>
      <c r="AM46" s="61">
        <f t="shared" si="37"/>
        <v>0</v>
      </c>
      <c r="AN46" s="61">
        <f t="shared" si="37"/>
        <v>2227</v>
      </c>
      <c r="AO46" s="61">
        <f t="shared" si="37"/>
        <v>0</v>
      </c>
      <c r="AP46" s="61">
        <f t="shared" si="37"/>
        <v>0</v>
      </c>
      <c r="AQ46" s="61">
        <f t="shared" si="37"/>
        <v>154306</v>
      </c>
      <c r="AR46" s="61">
        <f t="shared" si="37"/>
        <v>0</v>
      </c>
      <c r="AS46" s="61">
        <f t="shared" si="37"/>
        <v>0</v>
      </c>
      <c r="AT46" s="61">
        <f>SUM(AT51:AT52)</f>
        <v>0</v>
      </c>
      <c r="AU46" s="62">
        <f>SUM(AU51:AU52)</f>
        <v>0</v>
      </c>
      <c r="AV46" s="60">
        <f t="shared" si="34"/>
        <v>0</v>
      </c>
      <c r="AW46" s="61">
        <f t="shared" si="34"/>
        <v>0</v>
      </c>
      <c r="AX46" s="61">
        <f>SUM(AX48,AX51:AX52)</f>
        <v>0</v>
      </c>
      <c r="AY46" s="61">
        <f t="shared" si="34"/>
        <v>0</v>
      </c>
      <c r="AZ46" s="61">
        <f>SUM(AZ48,AZ51:AZ52)</f>
        <v>0</v>
      </c>
      <c r="BA46" s="61">
        <f t="shared" ref="BA46:BJ46" si="38">SUM(BA48,BA51:BA52)</f>
        <v>0</v>
      </c>
      <c r="BB46" s="61">
        <f t="shared" si="38"/>
        <v>0</v>
      </c>
      <c r="BC46" s="61">
        <f t="shared" si="38"/>
        <v>0</v>
      </c>
      <c r="BD46" s="61">
        <f t="shared" si="38"/>
        <v>0</v>
      </c>
      <c r="BE46" s="61">
        <f t="shared" si="38"/>
        <v>0</v>
      </c>
      <c r="BF46" s="61">
        <f t="shared" si="38"/>
        <v>0</v>
      </c>
      <c r="BG46" s="61">
        <f t="shared" si="38"/>
        <v>0</v>
      </c>
      <c r="BH46" s="61">
        <f t="shared" si="38"/>
        <v>0</v>
      </c>
      <c r="BI46" s="61">
        <f t="shared" si="38"/>
        <v>0</v>
      </c>
      <c r="BJ46" s="61">
        <f t="shared" si="38"/>
        <v>0</v>
      </c>
      <c r="BK46" s="61">
        <f>SUM(BK51:BK52)</f>
        <v>0</v>
      </c>
      <c r="BL46" s="62">
        <f>SUM(BL51:BL52)</f>
        <v>0</v>
      </c>
      <c r="BM46" s="60">
        <f t="shared" si="34"/>
        <v>0</v>
      </c>
      <c r="BN46" s="61">
        <f t="shared" si="34"/>
        <v>0</v>
      </c>
      <c r="BO46" s="61">
        <f>SUM(BO48,BO51:BO52)</f>
        <v>0</v>
      </c>
      <c r="BP46" s="61">
        <f t="shared" si="34"/>
        <v>0</v>
      </c>
      <c r="BQ46" s="61">
        <f>SUM(BQ48,BQ51:BQ52)</f>
        <v>0</v>
      </c>
      <c r="BR46" s="61">
        <f t="shared" ref="BR46:CA46" si="39">SUM(BR48,BR51:BR52)</f>
        <v>0</v>
      </c>
      <c r="BS46" s="61">
        <f t="shared" si="39"/>
        <v>0</v>
      </c>
      <c r="BT46" s="61">
        <f t="shared" si="39"/>
        <v>0</v>
      </c>
      <c r="BU46" s="61">
        <f t="shared" si="39"/>
        <v>0</v>
      </c>
      <c r="BV46" s="61">
        <f t="shared" si="39"/>
        <v>0</v>
      </c>
      <c r="BW46" s="61">
        <f t="shared" si="39"/>
        <v>0</v>
      </c>
      <c r="BX46" s="61">
        <f t="shared" si="39"/>
        <v>0</v>
      </c>
      <c r="BY46" s="61">
        <f t="shared" si="39"/>
        <v>0</v>
      </c>
      <c r="BZ46" s="61">
        <f t="shared" si="39"/>
        <v>0</v>
      </c>
      <c r="CA46" s="61">
        <f t="shared" si="39"/>
        <v>0</v>
      </c>
      <c r="CB46" s="61">
        <f>SUM(CB51:CB52)</f>
        <v>0</v>
      </c>
      <c r="CC46" s="62">
        <f>SUM(CC51:CC52)</f>
        <v>0</v>
      </c>
      <c r="CD46" s="60">
        <f t="shared" ref="CD46:EF46" si="40">SUM(CD48,CD51:CD53)</f>
        <v>0</v>
      </c>
      <c r="CE46" s="61">
        <f t="shared" si="40"/>
        <v>0</v>
      </c>
      <c r="CF46" s="61">
        <f>SUM(CF48,CF51:CF52)</f>
        <v>0</v>
      </c>
      <c r="CG46" s="61">
        <f t="shared" si="40"/>
        <v>0</v>
      </c>
      <c r="CH46" s="61">
        <f>SUM(CH48,CH51:CH52)</f>
        <v>0</v>
      </c>
      <c r="CI46" s="61">
        <f t="shared" ref="CI46:CR46" si="41">SUM(CI48,CI51:CI52)</f>
        <v>0</v>
      </c>
      <c r="CJ46" s="61">
        <f t="shared" si="41"/>
        <v>0</v>
      </c>
      <c r="CK46" s="61">
        <f t="shared" si="41"/>
        <v>0</v>
      </c>
      <c r="CL46" s="61">
        <f t="shared" si="41"/>
        <v>0</v>
      </c>
      <c r="CM46" s="61">
        <f t="shared" si="41"/>
        <v>0</v>
      </c>
      <c r="CN46" s="61">
        <f t="shared" si="41"/>
        <v>0</v>
      </c>
      <c r="CO46" s="61">
        <f t="shared" si="41"/>
        <v>0</v>
      </c>
      <c r="CP46" s="61">
        <f t="shared" si="41"/>
        <v>0</v>
      </c>
      <c r="CQ46" s="61">
        <f t="shared" si="41"/>
        <v>0</v>
      </c>
      <c r="CR46" s="61">
        <f t="shared" si="41"/>
        <v>0</v>
      </c>
      <c r="CS46" s="61">
        <f>SUM(CS51:CS52)</f>
        <v>0</v>
      </c>
      <c r="CT46" s="62">
        <f>SUM(CT51:CT52)</f>
        <v>0</v>
      </c>
      <c r="CU46" s="60">
        <f t="shared" si="40"/>
        <v>0</v>
      </c>
      <c r="CV46" s="61">
        <f t="shared" si="40"/>
        <v>0</v>
      </c>
      <c r="CW46" s="61">
        <f>SUM(CW48,CW51:CW52)</f>
        <v>0</v>
      </c>
      <c r="CX46" s="61">
        <f t="shared" si="40"/>
        <v>0</v>
      </c>
      <c r="CY46" s="61">
        <f>SUM(CY48,CY51:CY52)</f>
        <v>0</v>
      </c>
      <c r="CZ46" s="61">
        <f t="shared" ref="CZ46:DI46" si="42">SUM(CZ48,CZ51:CZ52)</f>
        <v>0</v>
      </c>
      <c r="DA46" s="61">
        <f t="shared" si="42"/>
        <v>0</v>
      </c>
      <c r="DB46" s="61">
        <f t="shared" si="42"/>
        <v>0</v>
      </c>
      <c r="DC46" s="61">
        <f t="shared" si="42"/>
        <v>0</v>
      </c>
      <c r="DD46" s="61">
        <f t="shared" si="42"/>
        <v>0</v>
      </c>
      <c r="DE46" s="61">
        <f t="shared" si="42"/>
        <v>0</v>
      </c>
      <c r="DF46" s="61">
        <f t="shared" si="42"/>
        <v>0</v>
      </c>
      <c r="DG46" s="61">
        <f t="shared" si="42"/>
        <v>0</v>
      </c>
      <c r="DH46" s="61">
        <f t="shared" si="42"/>
        <v>0</v>
      </c>
      <c r="DI46" s="61">
        <f t="shared" si="42"/>
        <v>0</v>
      </c>
      <c r="DJ46" s="61">
        <f>SUM(DJ51:DJ52)</f>
        <v>0</v>
      </c>
      <c r="DK46" s="62">
        <f>SUM(DK51:DK52)</f>
        <v>0</v>
      </c>
      <c r="DL46" s="60">
        <f t="shared" si="40"/>
        <v>0</v>
      </c>
      <c r="DM46" s="61">
        <f t="shared" si="40"/>
        <v>0</v>
      </c>
      <c r="DN46" s="61">
        <f t="shared" si="40"/>
        <v>0</v>
      </c>
      <c r="DO46" s="61">
        <f t="shared" si="40"/>
        <v>0</v>
      </c>
      <c r="DP46" s="61">
        <f t="shared" si="40"/>
        <v>0</v>
      </c>
      <c r="DQ46" s="61">
        <f t="shared" si="40"/>
        <v>0</v>
      </c>
      <c r="DR46" s="61">
        <f t="shared" si="40"/>
        <v>0</v>
      </c>
      <c r="DS46" s="61">
        <f t="shared" si="40"/>
        <v>0</v>
      </c>
      <c r="DT46" s="61">
        <f t="shared" si="40"/>
        <v>0</v>
      </c>
      <c r="DU46" s="61">
        <f t="shared" si="40"/>
        <v>0</v>
      </c>
      <c r="DV46" s="61">
        <f t="shared" si="40"/>
        <v>0</v>
      </c>
      <c r="DW46" s="61">
        <f t="shared" si="40"/>
        <v>0</v>
      </c>
      <c r="DX46" s="61">
        <f t="shared" si="40"/>
        <v>0</v>
      </c>
      <c r="DY46" s="61">
        <f t="shared" si="40"/>
        <v>0</v>
      </c>
      <c r="DZ46" s="61">
        <f t="shared" si="40"/>
        <v>0</v>
      </c>
      <c r="EA46" s="61">
        <f>SUM(EA51:EA52)</f>
        <v>0</v>
      </c>
      <c r="EB46" s="62">
        <f>SUM(EB51:EB52)</f>
        <v>0</v>
      </c>
      <c r="EC46" s="60">
        <f t="shared" si="40"/>
        <v>0</v>
      </c>
      <c r="ED46" s="61">
        <f t="shared" si="40"/>
        <v>0</v>
      </c>
      <c r="EE46" s="61">
        <f>SUM(EE48,EE51:EE52)</f>
        <v>0</v>
      </c>
      <c r="EF46" s="61">
        <f t="shared" si="40"/>
        <v>0</v>
      </c>
      <c r="EG46" s="61">
        <f>SUM(EG48,EG51:EG52)</f>
        <v>0</v>
      </c>
      <c r="EH46" s="61">
        <f t="shared" ref="EH46:EQ46" si="43">SUM(EH48,EH51:EH52)</f>
        <v>0</v>
      </c>
      <c r="EI46" s="61">
        <f t="shared" si="43"/>
        <v>0</v>
      </c>
      <c r="EJ46" s="61">
        <f t="shared" si="43"/>
        <v>0</v>
      </c>
      <c r="EK46" s="61">
        <f t="shared" si="43"/>
        <v>0</v>
      </c>
      <c r="EL46" s="61">
        <f t="shared" si="43"/>
        <v>0</v>
      </c>
      <c r="EM46" s="61">
        <f t="shared" si="43"/>
        <v>0</v>
      </c>
      <c r="EN46" s="61">
        <f t="shared" si="43"/>
        <v>0</v>
      </c>
      <c r="EO46" s="61">
        <f t="shared" si="43"/>
        <v>0</v>
      </c>
      <c r="EP46" s="61">
        <f t="shared" si="43"/>
        <v>0</v>
      </c>
      <c r="EQ46" s="61">
        <f t="shared" si="43"/>
        <v>0</v>
      </c>
      <c r="ER46" s="61">
        <f>SUM(ER51:ER52)</f>
        <v>0</v>
      </c>
      <c r="ES46" s="62">
        <f>SUM(ES51:ES52)</f>
        <v>0</v>
      </c>
      <c r="ET46" s="214" t="s">
        <v>33</v>
      </c>
      <c r="EU46" s="64" t="s">
        <v>34</v>
      </c>
    </row>
    <row r="47" spans="2:151" ht="14.25" customHeight="1" x14ac:dyDescent="0.2">
      <c r="B47" s="65"/>
      <c r="C47" s="66" t="s">
        <v>35</v>
      </c>
      <c r="D47" s="67"/>
      <c r="E47" s="67"/>
      <c r="F47" s="215"/>
      <c r="G47" s="68">
        <f>SUM(I47:J47,Y47,AB47)</f>
        <v>0</v>
      </c>
      <c r="H47" s="69"/>
      <c r="I47" s="70">
        <f t="shared" ref="I47:W52" si="44">SUM(AE47,AV47,BM47,CD47,CU47,DL47,EC47)</f>
        <v>0</v>
      </c>
      <c r="J47" s="71">
        <f t="shared" si="44"/>
        <v>0</v>
      </c>
      <c r="K47" s="71"/>
      <c r="L47" s="71"/>
      <c r="M47" s="71"/>
      <c r="N47" s="71"/>
      <c r="O47" s="71"/>
      <c r="P47" s="71"/>
      <c r="Q47" s="71"/>
      <c r="R47" s="71"/>
      <c r="S47" s="71"/>
      <c r="T47" s="71"/>
      <c r="U47" s="71"/>
      <c r="V47" s="71"/>
      <c r="W47" s="71"/>
      <c r="X47" s="71"/>
      <c r="Y47" s="72"/>
      <c r="Z47" s="71"/>
      <c r="AA47" s="71"/>
      <c r="AB47" s="72"/>
      <c r="AC47" s="72"/>
      <c r="AD47" s="73"/>
      <c r="AE47" s="74"/>
      <c r="AF47" s="72"/>
      <c r="AG47" s="71"/>
      <c r="AH47" s="71"/>
      <c r="AI47" s="71"/>
      <c r="AJ47" s="71"/>
      <c r="AK47" s="71"/>
      <c r="AL47" s="71"/>
      <c r="AM47" s="71"/>
      <c r="AN47" s="71"/>
      <c r="AO47" s="71"/>
      <c r="AP47" s="71"/>
      <c r="AQ47" s="71"/>
      <c r="AR47" s="71"/>
      <c r="AS47" s="71"/>
      <c r="AT47" s="71"/>
      <c r="AU47" s="73"/>
      <c r="AV47" s="74"/>
      <c r="AW47" s="72"/>
      <c r="AX47" s="71"/>
      <c r="AY47" s="71"/>
      <c r="AZ47" s="71"/>
      <c r="BA47" s="71"/>
      <c r="BB47" s="71"/>
      <c r="BC47" s="71"/>
      <c r="BD47" s="71"/>
      <c r="BE47" s="71"/>
      <c r="BF47" s="71"/>
      <c r="BG47" s="71"/>
      <c r="BH47" s="71"/>
      <c r="BI47" s="71"/>
      <c r="BJ47" s="71"/>
      <c r="BK47" s="71"/>
      <c r="BL47" s="73"/>
      <c r="BM47" s="74"/>
      <c r="BN47" s="72"/>
      <c r="BO47" s="71"/>
      <c r="BP47" s="71"/>
      <c r="BQ47" s="71"/>
      <c r="BR47" s="71"/>
      <c r="BS47" s="71"/>
      <c r="BT47" s="71"/>
      <c r="BU47" s="71"/>
      <c r="BV47" s="71"/>
      <c r="BW47" s="71"/>
      <c r="BX47" s="71"/>
      <c r="BY47" s="71"/>
      <c r="BZ47" s="71"/>
      <c r="CA47" s="71"/>
      <c r="CB47" s="71"/>
      <c r="CC47" s="73"/>
      <c r="CD47" s="74"/>
      <c r="CE47" s="72"/>
      <c r="CF47" s="71"/>
      <c r="CG47" s="71"/>
      <c r="CH47" s="71"/>
      <c r="CI47" s="71"/>
      <c r="CJ47" s="71"/>
      <c r="CK47" s="71"/>
      <c r="CL47" s="71"/>
      <c r="CM47" s="71"/>
      <c r="CN47" s="71"/>
      <c r="CO47" s="71"/>
      <c r="CP47" s="71"/>
      <c r="CQ47" s="71"/>
      <c r="CR47" s="71"/>
      <c r="CS47" s="71"/>
      <c r="CT47" s="73"/>
      <c r="CU47" s="74"/>
      <c r="CV47" s="72"/>
      <c r="CW47" s="71"/>
      <c r="CX47" s="71"/>
      <c r="CY47" s="71"/>
      <c r="CZ47" s="71"/>
      <c r="DA47" s="71"/>
      <c r="DB47" s="71"/>
      <c r="DC47" s="71"/>
      <c r="DD47" s="71"/>
      <c r="DE47" s="71"/>
      <c r="DF47" s="71"/>
      <c r="DG47" s="71"/>
      <c r="DH47" s="71"/>
      <c r="DI47" s="71"/>
      <c r="DJ47" s="71"/>
      <c r="DK47" s="73"/>
      <c r="DL47" s="74"/>
      <c r="DM47" s="72"/>
      <c r="DN47" s="71"/>
      <c r="DO47" s="71"/>
      <c r="DP47" s="71"/>
      <c r="DQ47" s="71"/>
      <c r="DR47" s="71"/>
      <c r="DS47" s="71"/>
      <c r="DT47" s="71"/>
      <c r="DU47" s="71"/>
      <c r="DV47" s="71"/>
      <c r="DW47" s="71"/>
      <c r="DX47" s="71"/>
      <c r="DY47" s="71"/>
      <c r="DZ47" s="71"/>
      <c r="EA47" s="71"/>
      <c r="EB47" s="73"/>
      <c r="EC47" s="74"/>
      <c r="ED47" s="72"/>
      <c r="EE47" s="71"/>
      <c r="EF47" s="71"/>
      <c r="EG47" s="71"/>
      <c r="EH47" s="71"/>
      <c r="EI47" s="71"/>
      <c r="EJ47" s="71"/>
      <c r="EK47" s="71"/>
      <c r="EL47" s="71"/>
      <c r="EM47" s="71"/>
      <c r="EN47" s="71"/>
      <c r="EO47" s="71"/>
      <c r="EP47" s="71"/>
      <c r="EQ47" s="71"/>
      <c r="ER47" s="71"/>
      <c r="ES47" s="73"/>
      <c r="ET47" s="216" t="s">
        <v>33</v>
      </c>
      <c r="EU47" s="76"/>
    </row>
    <row r="48" spans="2:151" ht="14.25" customHeight="1" x14ac:dyDescent="0.25">
      <c r="B48" s="65"/>
      <c r="C48" s="77" t="s">
        <v>36</v>
      </c>
      <c r="D48" s="78"/>
      <c r="E48" s="78"/>
      <c r="F48" s="79"/>
      <c r="G48" s="80">
        <f>SUM(I48:W48,Y48:AA48)</f>
        <v>1699514</v>
      </c>
      <c r="H48" s="81"/>
      <c r="I48" s="82">
        <f t="shared" si="44"/>
        <v>1292829</v>
      </c>
      <c r="J48" s="83">
        <f t="shared" si="44"/>
        <v>0</v>
      </c>
      <c r="K48" s="84">
        <f t="shared" si="44"/>
        <v>0</v>
      </c>
      <c r="L48" s="84">
        <f t="shared" si="44"/>
        <v>214942</v>
      </c>
      <c r="M48" s="84">
        <f t="shared" si="44"/>
        <v>0</v>
      </c>
      <c r="N48" s="84">
        <f t="shared" si="44"/>
        <v>0</v>
      </c>
      <c r="O48" s="84">
        <f t="shared" si="44"/>
        <v>27893</v>
      </c>
      <c r="P48" s="84">
        <f t="shared" si="44"/>
        <v>7317</v>
      </c>
      <c r="Q48" s="84">
        <f t="shared" si="44"/>
        <v>0</v>
      </c>
      <c r="R48" s="84">
        <f t="shared" si="44"/>
        <v>2227</v>
      </c>
      <c r="S48" s="84">
        <f t="shared" si="44"/>
        <v>0</v>
      </c>
      <c r="T48" s="84">
        <f t="shared" si="44"/>
        <v>0</v>
      </c>
      <c r="U48" s="84">
        <f t="shared" si="44"/>
        <v>154306</v>
      </c>
      <c r="V48" s="84">
        <f t="shared" si="44"/>
        <v>0</v>
      </c>
      <c r="W48" s="84">
        <f t="shared" si="44"/>
        <v>0</v>
      </c>
      <c r="X48" s="85" t="s">
        <v>33</v>
      </c>
      <c r="Y48" s="86"/>
      <c r="Z48" s="86"/>
      <c r="AA48" s="86"/>
      <c r="AB48" s="85" t="s">
        <v>33</v>
      </c>
      <c r="AC48" s="85" t="s">
        <v>33</v>
      </c>
      <c r="AD48" s="87" t="s">
        <v>33</v>
      </c>
      <c r="AE48" s="88">
        <v>1292829</v>
      </c>
      <c r="AF48" s="89"/>
      <c r="AG48" s="89"/>
      <c r="AH48" s="89">
        <v>214942</v>
      </c>
      <c r="AI48" s="89"/>
      <c r="AJ48" s="89"/>
      <c r="AK48" s="89">
        <v>27893</v>
      </c>
      <c r="AL48" s="89">
        <v>7317</v>
      </c>
      <c r="AM48" s="89"/>
      <c r="AN48" s="89">
        <v>2227</v>
      </c>
      <c r="AO48" s="89"/>
      <c r="AP48" s="89"/>
      <c r="AQ48" s="89">
        <v>154306</v>
      </c>
      <c r="AR48" s="89"/>
      <c r="AS48" s="89"/>
      <c r="AT48" s="85" t="s">
        <v>33</v>
      </c>
      <c r="AU48" s="87" t="s">
        <v>33</v>
      </c>
      <c r="AV48" s="88"/>
      <c r="AW48" s="89"/>
      <c r="AX48" s="89"/>
      <c r="AY48" s="89"/>
      <c r="AZ48" s="89"/>
      <c r="BA48" s="89"/>
      <c r="BB48" s="89"/>
      <c r="BC48" s="89"/>
      <c r="BD48" s="89"/>
      <c r="BE48" s="89"/>
      <c r="BF48" s="89"/>
      <c r="BG48" s="89"/>
      <c r="BH48" s="89"/>
      <c r="BI48" s="89"/>
      <c r="BJ48" s="89"/>
      <c r="BK48" s="85" t="s">
        <v>33</v>
      </c>
      <c r="BL48" s="87" t="s">
        <v>33</v>
      </c>
      <c r="BM48" s="88"/>
      <c r="BN48" s="89"/>
      <c r="BO48" s="89"/>
      <c r="BP48" s="89"/>
      <c r="BQ48" s="89"/>
      <c r="BR48" s="89"/>
      <c r="BS48" s="89"/>
      <c r="BT48" s="89"/>
      <c r="BU48" s="89"/>
      <c r="BV48" s="89"/>
      <c r="BW48" s="89"/>
      <c r="BX48" s="89"/>
      <c r="BY48" s="89"/>
      <c r="BZ48" s="89"/>
      <c r="CA48" s="89"/>
      <c r="CB48" s="85" t="s">
        <v>33</v>
      </c>
      <c r="CC48" s="87" t="s">
        <v>33</v>
      </c>
      <c r="CD48" s="88"/>
      <c r="CE48" s="89"/>
      <c r="CF48" s="89"/>
      <c r="CG48" s="89"/>
      <c r="CH48" s="89"/>
      <c r="CI48" s="89"/>
      <c r="CJ48" s="89"/>
      <c r="CK48" s="89"/>
      <c r="CL48" s="89"/>
      <c r="CM48" s="89"/>
      <c r="CN48" s="89"/>
      <c r="CO48" s="89"/>
      <c r="CP48" s="89"/>
      <c r="CQ48" s="89"/>
      <c r="CR48" s="89"/>
      <c r="CS48" s="85" t="s">
        <v>33</v>
      </c>
      <c r="CT48" s="87" t="s">
        <v>33</v>
      </c>
      <c r="CU48" s="88"/>
      <c r="CV48" s="89"/>
      <c r="CW48" s="89"/>
      <c r="CX48" s="89"/>
      <c r="CY48" s="89"/>
      <c r="CZ48" s="89"/>
      <c r="DA48" s="89"/>
      <c r="DB48" s="89"/>
      <c r="DC48" s="89"/>
      <c r="DD48" s="89"/>
      <c r="DE48" s="89"/>
      <c r="DF48" s="89"/>
      <c r="DG48" s="89"/>
      <c r="DH48" s="89"/>
      <c r="DI48" s="89"/>
      <c r="DJ48" s="85" t="s">
        <v>33</v>
      </c>
      <c r="DK48" s="87" t="s">
        <v>33</v>
      </c>
      <c r="DL48" s="88"/>
      <c r="DM48" s="89"/>
      <c r="DN48" s="89"/>
      <c r="DO48" s="89"/>
      <c r="DP48" s="89"/>
      <c r="DQ48" s="89"/>
      <c r="DR48" s="89"/>
      <c r="DS48" s="89"/>
      <c r="DT48" s="89"/>
      <c r="DU48" s="89"/>
      <c r="DV48" s="89"/>
      <c r="DW48" s="89"/>
      <c r="DX48" s="89"/>
      <c r="DY48" s="89"/>
      <c r="DZ48" s="89"/>
      <c r="EA48" s="85" t="s">
        <v>33</v>
      </c>
      <c r="EB48" s="87" t="s">
        <v>33</v>
      </c>
      <c r="EC48" s="88"/>
      <c r="ED48" s="89"/>
      <c r="EE48" s="89"/>
      <c r="EF48" s="89"/>
      <c r="EG48" s="89"/>
      <c r="EH48" s="89"/>
      <c r="EI48" s="89"/>
      <c r="EJ48" s="89"/>
      <c r="EK48" s="89"/>
      <c r="EL48" s="89"/>
      <c r="EM48" s="89"/>
      <c r="EN48" s="89"/>
      <c r="EO48" s="89"/>
      <c r="EP48" s="89"/>
      <c r="EQ48" s="89"/>
      <c r="ER48" s="85" t="s">
        <v>33</v>
      </c>
      <c r="ES48" s="87" t="s">
        <v>33</v>
      </c>
      <c r="ET48" s="216" t="s">
        <v>33</v>
      </c>
      <c r="EU48" s="76" t="s">
        <v>37</v>
      </c>
    </row>
    <row r="49" spans="2:151" ht="31.5" customHeight="1" x14ac:dyDescent="0.2">
      <c r="B49" s="65"/>
      <c r="C49" s="90" t="s">
        <v>38</v>
      </c>
      <c r="D49" s="91"/>
      <c r="E49" s="91"/>
      <c r="F49" s="92"/>
      <c r="G49" s="80">
        <f t="shared" ref="G49:G50" si="45">SUM(I49:W49,Y49:AA49)</f>
        <v>0</v>
      </c>
      <c r="H49" s="81"/>
      <c r="I49" s="82">
        <f t="shared" si="44"/>
        <v>0</v>
      </c>
      <c r="J49" s="83">
        <f t="shared" si="44"/>
        <v>0</v>
      </c>
      <c r="K49" s="84">
        <f t="shared" si="44"/>
        <v>0</v>
      </c>
      <c r="L49" s="84">
        <f t="shared" si="44"/>
        <v>0</v>
      </c>
      <c r="M49" s="84">
        <f t="shared" si="44"/>
        <v>0</v>
      </c>
      <c r="N49" s="84">
        <f t="shared" si="44"/>
        <v>0</v>
      </c>
      <c r="O49" s="84">
        <f t="shared" si="44"/>
        <v>0</v>
      </c>
      <c r="P49" s="84">
        <f t="shared" si="44"/>
        <v>0</v>
      </c>
      <c r="Q49" s="84">
        <f t="shared" si="44"/>
        <v>0</v>
      </c>
      <c r="R49" s="84">
        <f t="shared" si="44"/>
        <v>0</v>
      </c>
      <c r="S49" s="84">
        <f t="shared" si="44"/>
        <v>0</v>
      </c>
      <c r="T49" s="84">
        <f t="shared" si="44"/>
        <v>0</v>
      </c>
      <c r="U49" s="84">
        <f t="shared" si="44"/>
        <v>0</v>
      </c>
      <c r="V49" s="84">
        <f t="shared" si="44"/>
        <v>0</v>
      </c>
      <c r="W49" s="84">
        <f t="shared" si="44"/>
        <v>0</v>
      </c>
      <c r="X49" s="85" t="s">
        <v>33</v>
      </c>
      <c r="Y49" s="86"/>
      <c r="Z49" s="86"/>
      <c r="AA49" s="86"/>
      <c r="AB49" s="85" t="s">
        <v>33</v>
      </c>
      <c r="AC49" s="85" t="s">
        <v>33</v>
      </c>
      <c r="AD49" s="87" t="s">
        <v>33</v>
      </c>
      <c r="AE49" s="88"/>
      <c r="AF49" s="89"/>
      <c r="AG49" s="89"/>
      <c r="AH49" s="89"/>
      <c r="AI49" s="89"/>
      <c r="AJ49" s="89"/>
      <c r="AK49" s="89"/>
      <c r="AL49" s="89"/>
      <c r="AM49" s="89"/>
      <c r="AN49" s="89"/>
      <c r="AO49" s="89"/>
      <c r="AP49" s="89"/>
      <c r="AQ49" s="89"/>
      <c r="AR49" s="89"/>
      <c r="AS49" s="89"/>
      <c r="AT49" s="85"/>
      <c r="AU49" s="87"/>
      <c r="AV49" s="88"/>
      <c r="AW49" s="89"/>
      <c r="AX49" s="89"/>
      <c r="AY49" s="89"/>
      <c r="AZ49" s="89"/>
      <c r="BA49" s="89"/>
      <c r="BB49" s="89"/>
      <c r="BC49" s="89"/>
      <c r="BD49" s="89"/>
      <c r="BE49" s="89"/>
      <c r="BF49" s="89"/>
      <c r="BG49" s="89"/>
      <c r="BH49" s="89"/>
      <c r="BI49" s="89"/>
      <c r="BJ49" s="89"/>
      <c r="BK49" s="85"/>
      <c r="BL49" s="87"/>
      <c r="BM49" s="88"/>
      <c r="BN49" s="89"/>
      <c r="BO49" s="89"/>
      <c r="BP49" s="89"/>
      <c r="BQ49" s="89"/>
      <c r="BR49" s="89"/>
      <c r="BS49" s="89"/>
      <c r="BT49" s="89"/>
      <c r="BU49" s="89"/>
      <c r="BV49" s="89"/>
      <c r="BW49" s="89"/>
      <c r="BX49" s="89"/>
      <c r="BY49" s="89"/>
      <c r="BZ49" s="89"/>
      <c r="CA49" s="89"/>
      <c r="CB49" s="85"/>
      <c r="CC49" s="87"/>
      <c r="CD49" s="88"/>
      <c r="CE49" s="89"/>
      <c r="CF49" s="89"/>
      <c r="CG49" s="89"/>
      <c r="CH49" s="89"/>
      <c r="CI49" s="89"/>
      <c r="CJ49" s="89"/>
      <c r="CK49" s="89"/>
      <c r="CL49" s="89"/>
      <c r="CM49" s="89"/>
      <c r="CN49" s="89"/>
      <c r="CO49" s="89"/>
      <c r="CP49" s="89"/>
      <c r="CQ49" s="89"/>
      <c r="CR49" s="89"/>
      <c r="CS49" s="85"/>
      <c r="CT49" s="87"/>
      <c r="CU49" s="88"/>
      <c r="CV49" s="89"/>
      <c r="CW49" s="89"/>
      <c r="CX49" s="89"/>
      <c r="CY49" s="89"/>
      <c r="CZ49" s="89"/>
      <c r="DA49" s="89"/>
      <c r="DB49" s="89"/>
      <c r="DC49" s="89"/>
      <c r="DD49" s="89"/>
      <c r="DE49" s="89"/>
      <c r="DF49" s="89"/>
      <c r="DG49" s="89"/>
      <c r="DH49" s="89"/>
      <c r="DI49" s="89"/>
      <c r="DJ49" s="85"/>
      <c r="DK49" s="87"/>
      <c r="DL49" s="88"/>
      <c r="DM49" s="89"/>
      <c r="DN49" s="89"/>
      <c r="DO49" s="89"/>
      <c r="DP49" s="89"/>
      <c r="DQ49" s="89"/>
      <c r="DR49" s="89"/>
      <c r="DS49" s="89"/>
      <c r="DT49" s="89"/>
      <c r="DU49" s="89"/>
      <c r="DV49" s="89"/>
      <c r="DW49" s="89"/>
      <c r="DX49" s="89"/>
      <c r="DY49" s="89"/>
      <c r="DZ49" s="89"/>
      <c r="EA49" s="85"/>
      <c r="EB49" s="87"/>
      <c r="EC49" s="88"/>
      <c r="ED49" s="89"/>
      <c r="EE49" s="89"/>
      <c r="EF49" s="89"/>
      <c r="EG49" s="89"/>
      <c r="EH49" s="89"/>
      <c r="EI49" s="89"/>
      <c r="EJ49" s="89"/>
      <c r="EK49" s="89"/>
      <c r="EL49" s="89"/>
      <c r="EM49" s="89"/>
      <c r="EN49" s="89"/>
      <c r="EO49" s="89"/>
      <c r="EP49" s="89"/>
      <c r="EQ49" s="89"/>
      <c r="ER49" s="85"/>
      <c r="ES49" s="87"/>
      <c r="ET49" s="216"/>
      <c r="EU49" s="76"/>
    </row>
    <row r="50" spans="2:151" ht="33.75" customHeight="1" x14ac:dyDescent="0.2">
      <c r="B50" s="65"/>
      <c r="C50" s="90" t="s">
        <v>39</v>
      </c>
      <c r="D50" s="91"/>
      <c r="E50" s="91"/>
      <c r="F50" s="92"/>
      <c r="G50" s="80">
        <f t="shared" si="45"/>
        <v>0</v>
      </c>
      <c r="H50" s="81"/>
      <c r="I50" s="82">
        <f t="shared" si="44"/>
        <v>0</v>
      </c>
      <c r="J50" s="83">
        <f t="shared" si="44"/>
        <v>0</v>
      </c>
      <c r="K50" s="84">
        <f t="shared" si="44"/>
        <v>0</v>
      </c>
      <c r="L50" s="84">
        <f t="shared" si="44"/>
        <v>0</v>
      </c>
      <c r="M50" s="84">
        <f t="shared" si="44"/>
        <v>0</v>
      </c>
      <c r="N50" s="84">
        <f t="shared" si="44"/>
        <v>0</v>
      </c>
      <c r="O50" s="84">
        <f t="shared" si="44"/>
        <v>0</v>
      </c>
      <c r="P50" s="84">
        <f t="shared" si="44"/>
        <v>0</v>
      </c>
      <c r="Q50" s="84">
        <f t="shared" si="44"/>
        <v>0</v>
      </c>
      <c r="R50" s="84">
        <f t="shared" si="44"/>
        <v>0</v>
      </c>
      <c r="S50" s="84">
        <f t="shared" si="44"/>
        <v>0</v>
      </c>
      <c r="T50" s="84">
        <f t="shared" si="44"/>
        <v>0</v>
      </c>
      <c r="U50" s="84">
        <f t="shared" si="44"/>
        <v>0</v>
      </c>
      <c r="V50" s="84">
        <f t="shared" si="44"/>
        <v>0</v>
      </c>
      <c r="W50" s="84">
        <f t="shared" si="44"/>
        <v>0</v>
      </c>
      <c r="X50" s="85" t="s">
        <v>33</v>
      </c>
      <c r="Y50" s="86"/>
      <c r="Z50" s="86"/>
      <c r="AA50" s="86"/>
      <c r="AB50" s="85" t="s">
        <v>33</v>
      </c>
      <c r="AC50" s="85" t="s">
        <v>33</v>
      </c>
      <c r="AD50" s="87" t="s">
        <v>33</v>
      </c>
      <c r="AE50" s="88"/>
      <c r="AF50" s="89"/>
      <c r="AG50" s="89"/>
      <c r="AH50" s="89"/>
      <c r="AI50" s="89"/>
      <c r="AJ50" s="89"/>
      <c r="AK50" s="89"/>
      <c r="AL50" s="89"/>
      <c r="AM50" s="89"/>
      <c r="AN50" s="89"/>
      <c r="AO50" s="89"/>
      <c r="AP50" s="89"/>
      <c r="AQ50" s="89"/>
      <c r="AR50" s="89"/>
      <c r="AS50" s="89"/>
      <c r="AT50" s="85"/>
      <c r="AU50" s="87"/>
      <c r="AV50" s="88"/>
      <c r="AW50" s="89"/>
      <c r="AX50" s="89"/>
      <c r="AY50" s="89"/>
      <c r="AZ50" s="89"/>
      <c r="BA50" s="89"/>
      <c r="BB50" s="89"/>
      <c r="BC50" s="89"/>
      <c r="BD50" s="89"/>
      <c r="BE50" s="89"/>
      <c r="BF50" s="89"/>
      <c r="BG50" s="89"/>
      <c r="BH50" s="89"/>
      <c r="BI50" s="89"/>
      <c r="BJ50" s="89"/>
      <c r="BK50" s="85"/>
      <c r="BL50" s="87"/>
      <c r="BM50" s="88"/>
      <c r="BN50" s="89"/>
      <c r="BO50" s="89"/>
      <c r="BP50" s="89"/>
      <c r="BQ50" s="89"/>
      <c r="BR50" s="89"/>
      <c r="BS50" s="89"/>
      <c r="BT50" s="89"/>
      <c r="BU50" s="89"/>
      <c r="BV50" s="89"/>
      <c r="BW50" s="89"/>
      <c r="BX50" s="89"/>
      <c r="BY50" s="89"/>
      <c r="BZ50" s="89"/>
      <c r="CA50" s="89"/>
      <c r="CB50" s="85"/>
      <c r="CC50" s="87"/>
      <c r="CD50" s="88"/>
      <c r="CE50" s="89"/>
      <c r="CF50" s="89"/>
      <c r="CG50" s="89"/>
      <c r="CH50" s="89"/>
      <c r="CI50" s="89"/>
      <c r="CJ50" s="89"/>
      <c r="CK50" s="89"/>
      <c r="CL50" s="89"/>
      <c r="CM50" s="89"/>
      <c r="CN50" s="89"/>
      <c r="CO50" s="89"/>
      <c r="CP50" s="89"/>
      <c r="CQ50" s="89"/>
      <c r="CR50" s="89"/>
      <c r="CS50" s="85"/>
      <c r="CT50" s="87"/>
      <c r="CU50" s="88"/>
      <c r="CV50" s="89"/>
      <c r="CW50" s="89"/>
      <c r="CX50" s="89"/>
      <c r="CY50" s="89"/>
      <c r="CZ50" s="89"/>
      <c r="DA50" s="89"/>
      <c r="DB50" s="89"/>
      <c r="DC50" s="89"/>
      <c r="DD50" s="89"/>
      <c r="DE50" s="89"/>
      <c r="DF50" s="89"/>
      <c r="DG50" s="89"/>
      <c r="DH50" s="89"/>
      <c r="DI50" s="89"/>
      <c r="DJ50" s="85"/>
      <c r="DK50" s="87"/>
      <c r="DL50" s="88"/>
      <c r="DM50" s="89"/>
      <c r="DN50" s="89"/>
      <c r="DO50" s="89"/>
      <c r="DP50" s="89"/>
      <c r="DQ50" s="89"/>
      <c r="DR50" s="89"/>
      <c r="DS50" s="89"/>
      <c r="DT50" s="89"/>
      <c r="DU50" s="89"/>
      <c r="DV50" s="89"/>
      <c r="DW50" s="89"/>
      <c r="DX50" s="89"/>
      <c r="DY50" s="89"/>
      <c r="DZ50" s="89"/>
      <c r="EA50" s="85"/>
      <c r="EB50" s="87"/>
      <c r="EC50" s="88"/>
      <c r="ED50" s="89"/>
      <c r="EE50" s="89"/>
      <c r="EF50" s="89"/>
      <c r="EG50" s="89"/>
      <c r="EH50" s="89"/>
      <c r="EI50" s="89"/>
      <c r="EJ50" s="89"/>
      <c r="EK50" s="89"/>
      <c r="EL50" s="89"/>
      <c r="EM50" s="89"/>
      <c r="EN50" s="89"/>
      <c r="EO50" s="89"/>
      <c r="EP50" s="89"/>
      <c r="EQ50" s="89"/>
      <c r="ER50" s="85"/>
      <c r="ES50" s="87"/>
      <c r="ET50" s="216"/>
      <c r="EU50" s="76"/>
    </row>
    <row r="51" spans="2:151" ht="12.75" customHeight="1" x14ac:dyDescent="0.2">
      <c r="B51" s="65"/>
      <c r="C51" s="90" t="s">
        <v>40</v>
      </c>
      <c r="D51" s="91"/>
      <c r="E51" s="91"/>
      <c r="F51" s="92"/>
      <c r="G51" s="80">
        <f>SUM(I51:AD51)</f>
        <v>0</v>
      </c>
      <c r="H51" s="81"/>
      <c r="I51" s="82">
        <f t="shared" si="44"/>
        <v>0</v>
      </c>
      <c r="J51" s="83">
        <f t="shared" si="44"/>
        <v>0</v>
      </c>
      <c r="K51" s="84">
        <f t="shared" si="44"/>
        <v>0</v>
      </c>
      <c r="L51" s="84">
        <f t="shared" si="44"/>
        <v>0</v>
      </c>
      <c r="M51" s="84">
        <f t="shared" si="44"/>
        <v>0</v>
      </c>
      <c r="N51" s="84">
        <f t="shared" si="44"/>
        <v>0</v>
      </c>
      <c r="O51" s="84">
        <f t="shared" si="44"/>
        <v>0</v>
      </c>
      <c r="P51" s="84">
        <f t="shared" si="44"/>
        <v>0</v>
      </c>
      <c r="Q51" s="84">
        <f t="shared" si="44"/>
        <v>0</v>
      </c>
      <c r="R51" s="84">
        <f t="shared" si="44"/>
        <v>0</v>
      </c>
      <c r="S51" s="84">
        <f t="shared" si="44"/>
        <v>0</v>
      </c>
      <c r="T51" s="84">
        <f t="shared" si="44"/>
        <v>0</v>
      </c>
      <c r="U51" s="84">
        <f t="shared" si="44"/>
        <v>0</v>
      </c>
      <c r="V51" s="84">
        <f t="shared" si="44"/>
        <v>0</v>
      </c>
      <c r="W51" s="84">
        <f t="shared" si="44"/>
        <v>0</v>
      </c>
      <c r="X51" s="84">
        <f>SUM(AT51,BK51,CB51,CS51,DJ51,EA51,ER51)</f>
        <v>0</v>
      </c>
      <c r="Y51" s="86"/>
      <c r="Z51" s="86"/>
      <c r="AA51" s="86"/>
      <c r="AB51" s="86"/>
      <c r="AC51" s="86"/>
      <c r="AD51" s="93"/>
      <c r="AE51" s="88"/>
      <c r="AF51" s="89"/>
      <c r="AG51" s="89"/>
      <c r="AH51" s="89"/>
      <c r="AI51" s="89"/>
      <c r="AJ51" s="89"/>
      <c r="AK51" s="89"/>
      <c r="AL51" s="89"/>
      <c r="AM51" s="89"/>
      <c r="AN51" s="89"/>
      <c r="AO51" s="89"/>
      <c r="AP51" s="89"/>
      <c r="AQ51" s="89"/>
      <c r="AR51" s="89"/>
      <c r="AS51" s="89"/>
      <c r="AT51" s="94"/>
      <c r="AU51" s="95"/>
      <c r="AV51" s="88"/>
      <c r="AW51" s="89"/>
      <c r="AX51" s="89"/>
      <c r="AY51" s="89"/>
      <c r="AZ51" s="89"/>
      <c r="BA51" s="89"/>
      <c r="BB51" s="89"/>
      <c r="BC51" s="89"/>
      <c r="BD51" s="89"/>
      <c r="BE51" s="89"/>
      <c r="BF51" s="89"/>
      <c r="BG51" s="89"/>
      <c r="BH51" s="89"/>
      <c r="BI51" s="89"/>
      <c r="BJ51" s="89"/>
      <c r="BK51" s="94"/>
      <c r="BL51" s="95"/>
      <c r="BM51" s="88"/>
      <c r="BN51" s="89"/>
      <c r="BO51" s="89"/>
      <c r="BP51" s="89"/>
      <c r="BQ51" s="89"/>
      <c r="BR51" s="89"/>
      <c r="BS51" s="89"/>
      <c r="BT51" s="89"/>
      <c r="BU51" s="89"/>
      <c r="BV51" s="89"/>
      <c r="BW51" s="89"/>
      <c r="BX51" s="89"/>
      <c r="BY51" s="89"/>
      <c r="BZ51" s="89"/>
      <c r="CA51" s="89"/>
      <c r="CB51" s="94"/>
      <c r="CC51" s="95"/>
      <c r="CD51" s="88"/>
      <c r="CE51" s="89"/>
      <c r="CF51" s="89"/>
      <c r="CG51" s="89"/>
      <c r="CH51" s="89"/>
      <c r="CI51" s="89"/>
      <c r="CJ51" s="89"/>
      <c r="CK51" s="89"/>
      <c r="CL51" s="89"/>
      <c r="CM51" s="89"/>
      <c r="CN51" s="89"/>
      <c r="CO51" s="89"/>
      <c r="CP51" s="89"/>
      <c r="CQ51" s="89"/>
      <c r="CR51" s="89"/>
      <c r="CS51" s="94"/>
      <c r="CT51" s="95"/>
      <c r="CU51" s="88"/>
      <c r="CV51" s="89"/>
      <c r="CW51" s="89"/>
      <c r="CX51" s="89"/>
      <c r="CY51" s="89"/>
      <c r="CZ51" s="89"/>
      <c r="DA51" s="89"/>
      <c r="DB51" s="89"/>
      <c r="DC51" s="89"/>
      <c r="DD51" s="89"/>
      <c r="DE51" s="89"/>
      <c r="DF51" s="89"/>
      <c r="DG51" s="89"/>
      <c r="DH51" s="89"/>
      <c r="DI51" s="89"/>
      <c r="DJ51" s="94"/>
      <c r="DK51" s="95"/>
      <c r="DL51" s="88"/>
      <c r="DM51" s="89"/>
      <c r="DN51" s="89"/>
      <c r="DO51" s="89"/>
      <c r="DP51" s="89"/>
      <c r="DQ51" s="89"/>
      <c r="DR51" s="89"/>
      <c r="DS51" s="89"/>
      <c r="DT51" s="89"/>
      <c r="DU51" s="89"/>
      <c r="DV51" s="89"/>
      <c r="DW51" s="89"/>
      <c r="DX51" s="89"/>
      <c r="DY51" s="89"/>
      <c r="DZ51" s="89"/>
      <c r="EA51" s="94"/>
      <c r="EB51" s="95"/>
      <c r="EC51" s="88"/>
      <c r="ED51" s="89"/>
      <c r="EE51" s="89"/>
      <c r="EF51" s="89"/>
      <c r="EG51" s="89"/>
      <c r="EH51" s="89"/>
      <c r="EI51" s="89"/>
      <c r="EJ51" s="89"/>
      <c r="EK51" s="89"/>
      <c r="EL51" s="89"/>
      <c r="EM51" s="89"/>
      <c r="EN51" s="89"/>
      <c r="EO51" s="89"/>
      <c r="EP51" s="89"/>
      <c r="EQ51" s="89"/>
      <c r="ER51" s="94"/>
      <c r="ES51" s="95"/>
      <c r="ET51" s="216" t="s">
        <v>33</v>
      </c>
      <c r="EU51" s="76" t="s">
        <v>41</v>
      </c>
    </row>
    <row r="52" spans="2:151" ht="14.25" customHeight="1" x14ac:dyDescent="0.2">
      <c r="B52" s="65"/>
      <c r="C52" s="77" t="s">
        <v>42</v>
      </c>
      <c r="D52" s="78"/>
      <c r="E52" s="78"/>
      <c r="F52" s="79"/>
      <c r="G52" s="80">
        <f>SUM(I52:AD52)</f>
        <v>1076940</v>
      </c>
      <c r="H52" s="81"/>
      <c r="I52" s="82">
        <f t="shared" si="44"/>
        <v>0</v>
      </c>
      <c r="J52" s="83">
        <f t="shared" si="44"/>
        <v>0</v>
      </c>
      <c r="K52" s="84">
        <f t="shared" si="44"/>
        <v>0</v>
      </c>
      <c r="L52" s="84">
        <f t="shared" si="44"/>
        <v>0</v>
      </c>
      <c r="M52" s="84">
        <f t="shared" si="44"/>
        <v>0</v>
      </c>
      <c r="N52" s="84">
        <f t="shared" si="44"/>
        <v>0</v>
      </c>
      <c r="O52" s="84">
        <f t="shared" si="44"/>
        <v>0</v>
      </c>
      <c r="P52" s="84">
        <f t="shared" si="44"/>
        <v>0</v>
      </c>
      <c r="Q52" s="84">
        <f t="shared" si="44"/>
        <v>0</v>
      </c>
      <c r="R52" s="84">
        <f t="shared" si="44"/>
        <v>0</v>
      </c>
      <c r="S52" s="84">
        <f t="shared" si="44"/>
        <v>0</v>
      </c>
      <c r="T52" s="84">
        <f t="shared" si="44"/>
        <v>0</v>
      </c>
      <c r="U52" s="84">
        <f t="shared" si="44"/>
        <v>0</v>
      </c>
      <c r="V52" s="84">
        <f t="shared" si="44"/>
        <v>0</v>
      </c>
      <c r="W52" s="84">
        <f t="shared" si="44"/>
        <v>0</v>
      </c>
      <c r="X52" s="84">
        <f>SUM(AT52,BK52,CB52,CS52,DJ52,EA52,ER52)</f>
        <v>0</v>
      </c>
      <c r="Y52" s="86"/>
      <c r="Z52" s="86"/>
      <c r="AA52" s="86"/>
      <c r="AB52" s="86"/>
      <c r="AC52" s="86"/>
      <c r="AD52" s="93">
        <v>1076940</v>
      </c>
      <c r="AE52" s="88"/>
      <c r="AF52" s="89"/>
      <c r="AG52" s="89"/>
      <c r="AH52" s="89"/>
      <c r="AI52" s="89"/>
      <c r="AJ52" s="89"/>
      <c r="AK52" s="89"/>
      <c r="AL52" s="89"/>
      <c r="AM52" s="89"/>
      <c r="AN52" s="89"/>
      <c r="AO52" s="89"/>
      <c r="AP52" s="89"/>
      <c r="AQ52" s="89"/>
      <c r="AR52" s="89"/>
      <c r="AS52" s="89"/>
      <c r="AT52" s="94"/>
      <c r="AU52" s="95"/>
      <c r="AV52" s="88"/>
      <c r="AW52" s="89"/>
      <c r="AX52" s="89"/>
      <c r="AY52" s="89"/>
      <c r="AZ52" s="89"/>
      <c r="BA52" s="89"/>
      <c r="BB52" s="89"/>
      <c r="BC52" s="89"/>
      <c r="BD52" s="89"/>
      <c r="BE52" s="89"/>
      <c r="BF52" s="89"/>
      <c r="BG52" s="89"/>
      <c r="BH52" s="89"/>
      <c r="BI52" s="89"/>
      <c r="BJ52" s="89"/>
      <c r="BK52" s="94"/>
      <c r="BL52" s="95"/>
      <c r="BM52" s="88"/>
      <c r="BN52" s="89"/>
      <c r="BO52" s="89"/>
      <c r="BP52" s="89"/>
      <c r="BQ52" s="89"/>
      <c r="BR52" s="89"/>
      <c r="BS52" s="89"/>
      <c r="BT52" s="89"/>
      <c r="BU52" s="89"/>
      <c r="BV52" s="89"/>
      <c r="BW52" s="89"/>
      <c r="BX52" s="89"/>
      <c r="BY52" s="89"/>
      <c r="BZ52" s="89"/>
      <c r="CA52" s="89"/>
      <c r="CB52" s="94"/>
      <c r="CC52" s="95"/>
      <c r="CD52" s="88"/>
      <c r="CE52" s="89"/>
      <c r="CF52" s="89"/>
      <c r="CG52" s="89"/>
      <c r="CH52" s="89"/>
      <c r="CI52" s="89"/>
      <c r="CJ52" s="89"/>
      <c r="CK52" s="89"/>
      <c r="CL52" s="89"/>
      <c r="CM52" s="89"/>
      <c r="CN52" s="89"/>
      <c r="CO52" s="89"/>
      <c r="CP52" s="89"/>
      <c r="CQ52" s="89"/>
      <c r="CR52" s="89"/>
      <c r="CS52" s="94"/>
      <c r="CT52" s="95"/>
      <c r="CU52" s="88"/>
      <c r="CV52" s="89"/>
      <c r="CW52" s="89"/>
      <c r="CX52" s="89"/>
      <c r="CY52" s="89"/>
      <c r="CZ52" s="89"/>
      <c r="DA52" s="89"/>
      <c r="DB52" s="89"/>
      <c r="DC52" s="89"/>
      <c r="DD52" s="89"/>
      <c r="DE52" s="89"/>
      <c r="DF52" s="89"/>
      <c r="DG52" s="89"/>
      <c r="DH52" s="89"/>
      <c r="DI52" s="89"/>
      <c r="DJ52" s="94"/>
      <c r="DK52" s="95"/>
      <c r="DL52" s="88"/>
      <c r="DM52" s="89"/>
      <c r="DN52" s="89"/>
      <c r="DO52" s="89"/>
      <c r="DP52" s="89"/>
      <c r="DQ52" s="89"/>
      <c r="DR52" s="89"/>
      <c r="DS52" s="89"/>
      <c r="DT52" s="89"/>
      <c r="DU52" s="89"/>
      <c r="DV52" s="89"/>
      <c r="DW52" s="89"/>
      <c r="DX52" s="89"/>
      <c r="DY52" s="89"/>
      <c r="DZ52" s="89"/>
      <c r="EA52" s="94"/>
      <c r="EB52" s="95"/>
      <c r="EC52" s="88"/>
      <c r="ED52" s="89"/>
      <c r="EE52" s="89"/>
      <c r="EF52" s="89"/>
      <c r="EG52" s="89"/>
      <c r="EH52" s="89"/>
      <c r="EI52" s="89"/>
      <c r="EJ52" s="89"/>
      <c r="EK52" s="89"/>
      <c r="EL52" s="89"/>
      <c r="EM52" s="89"/>
      <c r="EN52" s="89"/>
      <c r="EO52" s="89"/>
      <c r="EP52" s="89"/>
      <c r="EQ52" s="89"/>
      <c r="ER52" s="94"/>
      <c r="ES52" s="95"/>
      <c r="ET52" s="216" t="s">
        <v>33</v>
      </c>
      <c r="EU52" s="76" t="s">
        <v>43</v>
      </c>
    </row>
    <row r="53" spans="2:151" ht="14.25" customHeight="1" x14ac:dyDescent="0.25">
      <c r="B53" s="65"/>
      <c r="C53" s="96" t="s">
        <v>44</v>
      </c>
      <c r="D53" s="97"/>
      <c r="E53" s="97"/>
      <c r="F53" s="97"/>
      <c r="G53" s="98">
        <f>SUM(I53,J53,L53)</f>
        <v>0</v>
      </c>
      <c r="H53" s="99"/>
      <c r="I53" s="82">
        <f>SUM(AE53,AV53,BM53,CD53,CU53,DL53,EC53)</f>
        <v>0</v>
      </c>
      <c r="J53" s="100">
        <f>+SUM(AF53,AW53,BN53,CE53,CV53,DM53,ED53)</f>
        <v>0</v>
      </c>
      <c r="K53" s="83"/>
      <c r="L53" s="83">
        <f>SUM(AH53,AY53,BP53,CG53,CX53,DO53,EF53)</f>
        <v>0</v>
      </c>
      <c r="M53" s="83"/>
      <c r="N53" s="83"/>
      <c r="O53" s="83"/>
      <c r="P53" s="83"/>
      <c r="Q53" s="83"/>
      <c r="R53" s="83"/>
      <c r="S53" s="83"/>
      <c r="T53" s="83"/>
      <c r="U53" s="83"/>
      <c r="V53" s="83"/>
      <c r="W53" s="83"/>
      <c r="X53" s="83"/>
      <c r="Y53" s="101"/>
      <c r="Z53" s="101"/>
      <c r="AA53" s="101"/>
      <c r="AB53" s="101"/>
      <c r="AC53" s="101"/>
      <c r="AD53" s="102"/>
      <c r="AE53" s="103"/>
      <c r="AF53" s="104"/>
      <c r="AG53" s="83"/>
      <c r="AH53" s="104"/>
      <c r="AI53" s="83"/>
      <c r="AJ53" s="83"/>
      <c r="AK53" s="83"/>
      <c r="AL53" s="83"/>
      <c r="AM53" s="83"/>
      <c r="AN53" s="83"/>
      <c r="AO53" s="83"/>
      <c r="AP53" s="83"/>
      <c r="AQ53" s="83"/>
      <c r="AR53" s="83"/>
      <c r="AS53" s="83"/>
      <c r="AT53" s="71"/>
      <c r="AU53" s="73"/>
      <c r="AV53" s="103"/>
      <c r="AW53" s="104"/>
      <c r="AX53" s="83"/>
      <c r="AY53" s="104"/>
      <c r="AZ53" s="83"/>
      <c r="BA53" s="83"/>
      <c r="BB53" s="83"/>
      <c r="BC53" s="83"/>
      <c r="BD53" s="83"/>
      <c r="BE53" s="83"/>
      <c r="BF53" s="83"/>
      <c r="BG53" s="83"/>
      <c r="BH53" s="83"/>
      <c r="BI53" s="83"/>
      <c r="BJ53" s="83"/>
      <c r="BK53" s="71"/>
      <c r="BL53" s="73"/>
      <c r="BM53" s="103"/>
      <c r="BN53" s="104"/>
      <c r="BO53" s="83"/>
      <c r="BP53" s="104"/>
      <c r="BQ53" s="83"/>
      <c r="BR53" s="83"/>
      <c r="BS53" s="83"/>
      <c r="BT53" s="83"/>
      <c r="BU53" s="83"/>
      <c r="BV53" s="83"/>
      <c r="BW53" s="83"/>
      <c r="BX53" s="83"/>
      <c r="BY53" s="83"/>
      <c r="BZ53" s="83"/>
      <c r="CA53" s="83"/>
      <c r="CB53" s="71"/>
      <c r="CC53" s="73"/>
      <c r="CD53" s="103"/>
      <c r="CE53" s="104"/>
      <c r="CF53" s="83"/>
      <c r="CG53" s="104"/>
      <c r="CH53" s="83"/>
      <c r="CI53" s="83"/>
      <c r="CJ53" s="83"/>
      <c r="CK53" s="83"/>
      <c r="CL53" s="83"/>
      <c r="CM53" s="83"/>
      <c r="CN53" s="83"/>
      <c r="CO53" s="83"/>
      <c r="CP53" s="83"/>
      <c r="CQ53" s="83"/>
      <c r="CR53" s="83"/>
      <c r="CS53" s="71"/>
      <c r="CT53" s="73"/>
      <c r="CU53" s="103"/>
      <c r="CV53" s="104"/>
      <c r="CW53" s="83"/>
      <c r="CX53" s="104"/>
      <c r="CY53" s="83"/>
      <c r="CZ53" s="83"/>
      <c r="DA53" s="83"/>
      <c r="DB53" s="83"/>
      <c r="DC53" s="83"/>
      <c r="DD53" s="83"/>
      <c r="DE53" s="83"/>
      <c r="DF53" s="83"/>
      <c r="DG53" s="83"/>
      <c r="DH53" s="83"/>
      <c r="DI53" s="83"/>
      <c r="DJ53" s="71"/>
      <c r="DK53" s="73"/>
      <c r="DL53" s="103"/>
      <c r="DM53" s="104"/>
      <c r="DN53" s="83"/>
      <c r="DO53" s="104"/>
      <c r="DP53" s="83"/>
      <c r="DQ53" s="83"/>
      <c r="DR53" s="83"/>
      <c r="DS53" s="83"/>
      <c r="DT53" s="83"/>
      <c r="DU53" s="83"/>
      <c r="DV53" s="83"/>
      <c r="DW53" s="83"/>
      <c r="DX53" s="83"/>
      <c r="DY53" s="83"/>
      <c r="DZ53" s="83"/>
      <c r="EA53" s="71"/>
      <c r="EB53" s="73"/>
      <c r="EC53" s="103"/>
      <c r="ED53" s="104"/>
      <c r="EE53" s="83"/>
      <c r="EF53" s="104"/>
      <c r="EG53" s="83"/>
      <c r="EH53" s="83"/>
      <c r="EI53" s="83"/>
      <c r="EJ53" s="83"/>
      <c r="EK53" s="83"/>
      <c r="EL53" s="83"/>
      <c r="EM53" s="83"/>
      <c r="EN53" s="83"/>
      <c r="EO53" s="83"/>
      <c r="EP53" s="83"/>
      <c r="EQ53" s="83"/>
      <c r="ER53" s="71"/>
      <c r="ES53" s="73"/>
      <c r="ET53" s="216" t="s">
        <v>33</v>
      </c>
      <c r="EU53" s="76" t="s">
        <v>75</v>
      </c>
    </row>
    <row r="54" spans="2:151" ht="14.25" customHeight="1" x14ac:dyDescent="0.2">
      <c r="B54" s="65"/>
      <c r="C54" s="105" t="s">
        <v>46</v>
      </c>
      <c r="D54" s="105"/>
      <c r="E54" s="105"/>
      <c r="F54" s="106"/>
      <c r="G54" s="107">
        <f>SUM(I54:AD54,ET54)</f>
        <v>2683344</v>
      </c>
      <c r="H54" s="108"/>
      <c r="I54" s="109">
        <f>SUM(AE54,AV54,BM54,CD54,CU54,DL54,EC54)</f>
        <v>1341950</v>
      </c>
      <c r="J54" s="84">
        <f>SUM(AF54,AW54,BN54,CE54,CV54,DM54,ED54)</f>
        <v>0</v>
      </c>
      <c r="K54" s="84">
        <f>SUM(AG54,AX54,BO54,CF54,CW54,DN54,EE54)</f>
        <v>0</v>
      </c>
      <c r="L54" s="84">
        <f>SUM(AH54,AY54,BP54,CG54,CX54,DO54,EF54)</f>
        <v>95925</v>
      </c>
      <c r="M54" s="84">
        <f t="shared" ref="M54:X54" si="46">SUM(AI54,AZ54,BQ54,CH54,CY54,DP54,EG54)</f>
        <v>0</v>
      </c>
      <c r="N54" s="84">
        <f t="shared" si="46"/>
        <v>0</v>
      </c>
      <c r="O54" s="84">
        <f t="shared" si="46"/>
        <v>35978</v>
      </c>
      <c r="P54" s="84">
        <f t="shared" si="46"/>
        <v>3538</v>
      </c>
      <c r="Q54" s="84">
        <f t="shared" si="46"/>
        <v>0</v>
      </c>
      <c r="R54" s="84">
        <f t="shared" si="46"/>
        <v>305</v>
      </c>
      <c r="S54" s="84">
        <f t="shared" si="46"/>
        <v>0</v>
      </c>
      <c r="T54" s="84">
        <f t="shared" si="46"/>
        <v>0</v>
      </c>
      <c r="U54" s="84">
        <f t="shared" si="46"/>
        <v>78449</v>
      </c>
      <c r="V54" s="84">
        <f t="shared" si="46"/>
        <v>0</v>
      </c>
      <c r="W54" s="84">
        <f t="shared" si="46"/>
        <v>0</v>
      </c>
      <c r="X54" s="84">
        <f t="shared" si="46"/>
        <v>0</v>
      </c>
      <c r="Y54" s="86"/>
      <c r="Z54" s="86"/>
      <c r="AA54" s="86"/>
      <c r="AB54" s="86"/>
      <c r="AC54" s="86"/>
      <c r="AD54" s="93">
        <v>1077909</v>
      </c>
      <c r="AE54" s="88">
        <v>1341950</v>
      </c>
      <c r="AF54" s="89"/>
      <c r="AG54" s="89"/>
      <c r="AH54" s="89">
        <v>95925</v>
      </c>
      <c r="AI54" s="89"/>
      <c r="AJ54" s="89"/>
      <c r="AK54" s="89">
        <v>35978</v>
      </c>
      <c r="AL54" s="89">
        <v>3538</v>
      </c>
      <c r="AM54" s="89"/>
      <c r="AN54" s="89">
        <v>305</v>
      </c>
      <c r="AO54" s="89"/>
      <c r="AP54" s="89"/>
      <c r="AQ54" s="89">
        <v>78449</v>
      </c>
      <c r="AR54" s="89"/>
      <c r="AS54" s="89"/>
      <c r="AT54" s="94"/>
      <c r="AU54" s="95"/>
      <c r="AV54" s="88"/>
      <c r="AW54" s="89"/>
      <c r="AX54" s="89"/>
      <c r="AY54" s="89"/>
      <c r="AZ54" s="89"/>
      <c r="BA54" s="89"/>
      <c r="BB54" s="89"/>
      <c r="BC54" s="89"/>
      <c r="BD54" s="89"/>
      <c r="BE54" s="89"/>
      <c r="BF54" s="89"/>
      <c r="BG54" s="89"/>
      <c r="BH54" s="89"/>
      <c r="BI54" s="89"/>
      <c r="BJ54" s="89"/>
      <c r="BK54" s="94"/>
      <c r="BL54" s="95"/>
      <c r="BM54" s="88"/>
      <c r="BN54" s="89"/>
      <c r="BO54" s="89"/>
      <c r="BP54" s="89"/>
      <c r="BQ54" s="89"/>
      <c r="BR54" s="89"/>
      <c r="BS54" s="89"/>
      <c r="BT54" s="89"/>
      <c r="BU54" s="89"/>
      <c r="BV54" s="89"/>
      <c r="BW54" s="89"/>
      <c r="BX54" s="89"/>
      <c r="BY54" s="89"/>
      <c r="BZ54" s="89"/>
      <c r="CA54" s="89"/>
      <c r="CB54" s="94"/>
      <c r="CC54" s="95"/>
      <c r="CD54" s="88"/>
      <c r="CE54" s="89"/>
      <c r="CF54" s="89"/>
      <c r="CG54" s="89"/>
      <c r="CH54" s="89"/>
      <c r="CI54" s="89"/>
      <c r="CJ54" s="89"/>
      <c r="CK54" s="89"/>
      <c r="CL54" s="89"/>
      <c r="CM54" s="89"/>
      <c r="CN54" s="89"/>
      <c r="CO54" s="89"/>
      <c r="CP54" s="89"/>
      <c r="CQ54" s="89"/>
      <c r="CR54" s="89"/>
      <c r="CS54" s="94"/>
      <c r="CT54" s="95"/>
      <c r="CU54" s="88"/>
      <c r="CV54" s="89"/>
      <c r="CW54" s="89"/>
      <c r="CX54" s="89"/>
      <c r="CY54" s="89"/>
      <c r="CZ54" s="89"/>
      <c r="DA54" s="89"/>
      <c r="DB54" s="89"/>
      <c r="DC54" s="89"/>
      <c r="DD54" s="89"/>
      <c r="DE54" s="89"/>
      <c r="DF54" s="89"/>
      <c r="DG54" s="89"/>
      <c r="DH54" s="89"/>
      <c r="DI54" s="89"/>
      <c r="DJ54" s="94"/>
      <c r="DK54" s="95"/>
      <c r="DL54" s="88"/>
      <c r="DM54" s="89"/>
      <c r="DN54" s="89"/>
      <c r="DO54" s="89"/>
      <c r="DP54" s="89"/>
      <c r="DQ54" s="89"/>
      <c r="DR54" s="89"/>
      <c r="DS54" s="89"/>
      <c r="DT54" s="89"/>
      <c r="DU54" s="89"/>
      <c r="DV54" s="89"/>
      <c r="DW54" s="89"/>
      <c r="DX54" s="89"/>
      <c r="DY54" s="89"/>
      <c r="DZ54" s="89"/>
      <c r="EA54" s="94"/>
      <c r="EB54" s="95"/>
      <c r="EC54" s="88"/>
      <c r="ED54" s="89"/>
      <c r="EE54" s="89"/>
      <c r="EF54" s="89"/>
      <c r="EG54" s="89"/>
      <c r="EH54" s="89"/>
      <c r="EI54" s="89"/>
      <c r="EJ54" s="89"/>
      <c r="EK54" s="89"/>
      <c r="EL54" s="89"/>
      <c r="EM54" s="89"/>
      <c r="EN54" s="89"/>
      <c r="EO54" s="89"/>
      <c r="EP54" s="89"/>
      <c r="EQ54" s="89"/>
      <c r="ER54" s="94"/>
      <c r="ES54" s="95"/>
      <c r="ET54" s="217">
        <v>49290</v>
      </c>
      <c r="EU54" s="111" t="s">
        <v>47</v>
      </c>
    </row>
    <row r="55" spans="2:151" ht="14.25" customHeight="1" thickBot="1" x14ac:dyDescent="0.25">
      <c r="B55" s="65"/>
      <c r="C55" s="113" t="s">
        <v>48</v>
      </c>
      <c r="D55" s="114"/>
      <c r="E55" s="114"/>
      <c r="F55" s="115"/>
      <c r="G55" s="116">
        <f>G46-G54</f>
        <v>93110</v>
      </c>
      <c r="H55" s="117"/>
      <c r="I55" s="118">
        <f t="shared" ref="I55:BW55" si="47">I46-I54</f>
        <v>-49121</v>
      </c>
      <c r="J55" s="218">
        <f t="shared" si="47"/>
        <v>0</v>
      </c>
      <c r="K55" s="218">
        <f t="shared" si="47"/>
        <v>0</v>
      </c>
      <c r="L55" s="119">
        <f t="shared" si="47"/>
        <v>119017</v>
      </c>
      <c r="M55" s="119">
        <f t="shared" si="47"/>
        <v>0</v>
      </c>
      <c r="N55" s="119">
        <f t="shared" si="47"/>
        <v>0</v>
      </c>
      <c r="O55" s="119">
        <f t="shared" si="47"/>
        <v>-8085</v>
      </c>
      <c r="P55" s="119">
        <f t="shared" si="47"/>
        <v>3779</v>
      </c>
      <c r="Q55" s="119">
        <f t="shared" si="47"/>
        <v>0</v>
      </c>
      <c r="R55" s="120">
        <f t="shared" si="47"/>
        <v>1922</v>
      </c>
      <c r="S55" s="120">
        <f t="shared" si="47"/>
        <v>0</v>
      </c>
      <c r="T55" s="119">
        <f t="shared" si="47"/>
        <v>0</v>
      </c>
      <c r="U55" s="120">
        <f t="shared" si="47"/>
        <v>75857</v>
      </c>
      <c r="V55" s="120">
        <f t="shared" si="47"/>
        <v>0</v>
      </c>
      <c r="W55" s="120">
        <f t="shared" si="47"/>
        <v>0</v>
      </c>
      <c r="X55" s="120">
        <f t="shared" si="47"/>
        <v>0</v>
      </c>
      <c r="Y55" s="120">
        <f t="shared" si="47"/>
        <v>0</v>
      </c>
      <c r="Z55" s="219">
        <f t="shared" si="47"/>
        <v>0</v>
      </c>
      <c r="AA55" s="219">
        <f t="shared" si="47"/>
        <v>0</v>
      </c>
      <c r="AB55" s="219">
        <f t="shared" si="47"/>
        <v>0</v>
      </c>
      <c r="AC55" s="120">
        <f t="shared" si="47"/>
        <v>0</v>
      </c>
      <c r="AD55" s="121">
        <f t="shared" si="47"/>
        <v>-969</v>
      </c>
      <c r="AE55" s="118">
        <f t="shared" si="47"/>
        <v>-49121</v>
      </c>
      <c r="AF55" s="218">
        <f t="shared" si="47"/>
        <v>0</v>
      </c>
      <c r="AG55" s="218">
        <f t="shared" si="47"/>
        <v>0</v>
      </c>
      <c r="AH55" s="119">
        <f t="shared" si="47"/>
        <v>119017</v>
      </c>
      <c r="AI55" s="119">
        <f t="shared" si="47"/>
        <v>0</v>
      </c>
      <c r="AJ55" s="119">
        <f t="shared" si="47"/>
        <v>0</v>
      </c>
      <c r="AK55" s="119">
        <f t="shared" si="47"/>
        <v>-8085</v>
      </c>
      <c r="AL55" s="119">
        <f t="shared" si="47"/>
        <v>3779</v>
      </c>
      <c r="AM55" s="119">
        <f t="shared" si="47"/>
        <v>0</v>
      </c>
      <c r="AN55" s="120">
        <f t="shared" si="47"/>
        <v>1922</v>
      </c>
      <c r="AO55" s="120">
        <f t="shared" si="47"/>
        <v>0</v>
      </c>
      <c r="AP55" s="119">
        <f t="shared" si="47"/>
        <v>0</v>
      </c>
      <c r="AQ55" s="120">
        <f t="shared" si="47"/>
        <v>75857</v>
      </c>
      <c r="AR55" s="120">
        <f t="shared" si="47"/>
        <v>0</v>
      </c>
      <c r="AS55" s="120">
        <f t="shared" si="47"/>
        <v>0</v>
      </c>
      <c r="AT55" s="120">
        <f t="shared" si="47"/>
        <v>0</v>
      </c>
      <c r="AU55" s="121">
        <f t="shared" si="47"/>
        <v>0</v>
      </c>
      <c r="AV55" s="118">
        <f t="shared" si="47"/>
        <v>0</v>
      </c>
      <c r="AW55" s="218">
        <f t="shared" si="47"/>
        <v>0</v>
      </c>
      <c r="AX55" s="218">
        <f t="shared" si="47"/>
        <v>0</v>
      </c>
      <c r="AY55" s="119">
        <f t="shared" si="47"/>
        <v>0</v>
      </c>
      <c r="AZ55" s="119">
        <f t="shared" si="47"/>
        <v>0</v>
      </c>
      <c r="BA55" s="119">
        <f t="shared" si="47"/>
        <v>0</v>
      </c>
      <c r="BB55" s="119">
        <f t="shared" si="47"/>
        <v>0</v>
      </c>
      <c r="BC55" s="119">
        <f t="shared" si="47"/>
        <v>0</v>
      </c>
      <c r="BD55" s="119">
        <f t="shared" si="47"/>
        <v>0</v>
      </c>
      <c r="BE55" s="120">
        <f t="shared" si="47"/>
        <v>0</v>
      </c>
      <c r="BF55" s="120">
        <f t="shared" si="47"/>
        <v>0</v>
      </c>
      <c r="BG55" s="119">
        <f t="shared" si="47"/>
        <v>0</v>
      </c>
      <c r="BH55" s="120">
        <f t="shared" si="47"/>
        <v>0</v>
      </c>
      <c r="BI55" s="120">
        <f t="shared" si="47"/>
        <v>0</v>
      </c>
      <c r="BJ55" s="120">
        <f t="shared" si="47"/>
        <v>0</v>
      </c>
      <c r="BK55" s="120">
        <f t="shared" si="47"/>
        <v>0</v>
      </c>
      <c r="BL55" s="121">
        <f t="shared" si="47"/>
        <v>0</v>
      </c>
      <c r="BM55" s="118">
        <f t="shared" si="47"/>
        <v>0</v>
      </c>
      <c r="BN55" s="218">
        <f t="shared" si="47"/>
        <v>0</v>
      </c>
      <c r="BO55" s="218">
        <f t="shared" si="47"/>
        <v>0</v>
      </c>
      <c r="BP55" s="119">
        <f t="shared" si="47"/>
        <v>0</v>
      </c>
      <c r="BQ55" s="119">
        <f t="shared" si="47"/>
        <v>0</v>
      </c>
      <c r="BR55" s="119">
        <f t="shared" si="47"/>
        <v>0</v>
      </c>
      <c r="BS55" s="119">
        <f t="shared" si="47"/>
        <v>0</v>
      </c>
      <c r="BT55" s="119">
        <f t="shared" si="47"/>
        <v>0</v>
      </c>
      <c r="BU55" s="119">
        <f t="shared" si="47"/>
        <v>0</v>
      </c>
      <c r="BV55" s="120">
        <f t="shared" si="47"/>
        <v>0</v>
      </c>
      <c r="BW55" s="120">
        <f t="shared" si="47"/>
        <v>0</v>
      </c>
      <c r="BX55" s="119">
        <f t="shared" ref="BX55:EM55" si="48">BX46-BX54</f>
        <v>0</v>
      </c>
      <c r="BY55" s="120">
        <f t="shared" si="48"/>
        <v>0</v>
      </c>
      <c r="BZ55" s="120">
        <f t="shared" si="48"/>
        <v>0</v>
      </c>
      <c r="CA55" s="120">
        <f t="shared" si="48"/>
        <v>0</v>
      </c>
      <c r="CB55" s="120">
        <f t="shared" si="48"/>
        <v>0</v>
      </c>
      <c r="CC55" s="220">
        <f t="shared" si="48"/>
        <v>0</v>
      </c>
      <c r="CD55" s="118">
        <f t="shared" si="48"/>
        <v>0</v>
      </c>
      <c r="CE55" s="218">
        <f t="shared" si="48"/>
        <v>0</v>
      </c>
      <c r="CF55" s="218">
        <f t="shared" si="48"/>
        <v>0</v>
      </c>
      <c r="CG55" s="119">
        <f t="shared" si="48"/>
        <v>0</v>
      </c>
      <c r="CH55" s="119">
        <f t="shared" si="48"/>
        <v>0</v>
      </c>
      <c r="CI55" s="119">
        <f t="shared" si="48"/>
        <v>0</v>
      </c>
      <c r="CJ55" s="119">
        <f t="shared" si="48"/>
        <v>0</v>
      </c>
      <c r="CK55" s="119">
        <f t="shared" si="48"/>
        <v>0</v>
      </c>
      <c r="CL55" s="119">
        <f t="shared" si="48"/>
        <v>0</v>
      </c>
      <c r="CM55" s="120">
        <f t="shared" si="48"/>
        <v>0</v>
      </c>
      <c r="CN55" s="120">
        <f t="shared" si="48"/>
        <v>0</v>
      </c>
      <c r="CO55" s="119">
        <f t="shared" si="48"/>
        <v>0</v>
      </c>
      <c r="CP55" s="120">
        <f t="shared" si="48"/>
        <v>0</v>
      </c>
      <c r="CQ55" s="120">
        <f t="shared" si="48"/>
        <v>0</v>
      </c>
      <c r="CR55" s="120">
        <f t="shared" si="48"/>
        <v>0</v>
      </c>
      <c r="CS55" s="120">
        <f t="shared" si="48"/>
        <v>0</v>
      </c>
      <c r="CT55" s="121">
        <f t="shared" si="48"/>
        <v>0</v>
      </c>
      <c r="CU55" s="118">
        <f t="shared" si="48"/>
        <v>0</v>
      </c>
      <c r="CV55" s="218">
        <f t="shared" si="48"/>
        <v>0</v>
      </c>
      <c r="CW55" s="218">
        <f t="shared" si="48"/>
        <v>0</v>
      </c>
      <c r="CX55" s="119">
        <f t="shared" si="48"/>
        <v>0</v>
      </c>
      <c r="CY55" s="119">
        <f t="shared" si="48"/>
        <v>0</v>
      </c>
      <c r="CZ55" s="119">
        <f t="shared" si="48"/>
        <v>0</v>
      </c>
      <c r="DA55" s="119">
        <f t="shared" si="48"/>
        <v>0</v>
      </c>
      <c r="DB55" s="119">
        <f t="shared" si="48"/>
        <v>0</v>
      </c>
      <c r="DC55" s="119">
        <f t="shared" si="48"/>
        <v>0</v>
      </c>
      <c r="DD55" s="120">
        <f t="shared" si="48"/>
        <v>0</v>
      </c>
      <c r="DE55" s="120">
        <f t="shared" si="48"/>
        <v>0</v>
      </c>
      <c r="DF55" s="119">
        <f t="shared" si="48"/>
        <v>0</v>
      </c>
      <c r="DG55" s="120">
        <f t="shared" si="48"/>
        <v>0</v>
      </c>
      <c r="DH55" s="120">
        <f t="shared" si="48"/>
        <v>0</v>
      </c>
      <c r="DI55" s="120">
        <f t="shared" si="48"/>
        <v>0</v>
      </c>
      <c r="DJ55" s="120">
        <f t="shared" si="48"/>
        <v>0</v>
      </c>
      <c r="DK55" s="121">
        <f t="shared" si="48"/>
        <v>0</v>
      </c>
      <c r="DL55" s="118">
        <f t="shared" si="48"/>
        <v>0</v>
      </c>
      <c r="DM55" s="218">
        <f t="shared" si="48"/>
        <v>0</v>
      </c>
      <c r="DN55" s="218">
        <f t="shared" si="48"/>
        <v>0</v>
      </c>
      <c r="DO55" s="119">
        <f t="shared" si="48"/>
        <v>0</v>
      </c>
      <c r="DP55" s="119">
        <f t="shared" si="48"/>
        <v>0</v>
      </c>
      <c r="DQ55" s="119">
        <f t="shared" si="48"/>
        <v>0</v>
      </c>
      <c r="DR55" s="119">
        <f t="shared" si="48"/>
        <v>0</v>
      </c>
      <c r="DS55" s="119">
        <f t="shared" si="48"/>
        <v>0</v>
      </c>
      <c r="DT55" s="119">
        <f t="shared" si="48"/>
        <v>0</v>
      </c>
      <c r="DU55" s="120">
        <f t="shared" si="48"/>
        <v>0</v>
      </c>
      <c r="DV55" s="120">
        <f t="shared" si="48"/>
        <v>0</v>
      </c>
      <c r="DW55" s="119">
        <f t="shared" si="48"/>
        <v>0</v>
      </c>
      <c r="DX55" s="120">
        <f t="shared" si="48"/>
        <v>0</v>
      </c>
      <c r="DY55" s="120">
        <f t="shared" si="48"/>
        <v>0</v>
      </c>
      <c r="DZ55" s="120">
        <f t="shared" si="48"/>
        <v>0</v>
      </c>
      <c r="EA55" s="120">
        <f t="shared" si="48"/>
        <v>0</v>
      </c>
      <c r="EB55" s="121">
        <f t="shared" si="48"/>
        <v>0</v>
      </c>
      <c r="EC55" s="118">
        <f t="shared" si="48"/>
        <v>0</v>
      </c>
      <c r="ED55" s="218">
        <f t="shared" si="48"/>
        <v>0</v>
      </c>
      <c r="EE55" s="218">
        <f t="shared" si="48"/>
        <v>0</v>
      </c>
      <c r="EF55" s="119">
        <f t="shared" si="48"/>
        <v>0</v>
      </c>
      <c r="EG55" s="119">
        <f t="shared" si="48"/>
        <v>0</v>
      </c>
      <c r="EH55" s="119">
        <f t="shared" si="48"/>
        <v>0</v>
      </c>
      <c r="EI55" s="119">
        <f t="shared" si="48"/>
        <v>0</v>
      </c>
      <c r="EJ55" s="119">
        <f t="shared" si="48"/>
        <v>0</v>
      </c>
      <c r="EK55" s="119">
        <f t="shared" si="48"/>
        <v>0</v>
      </c>
      <c r="EL55" s="120">
        <f t="shared" si="48"/>
        <v>0</v>
      </c>
      <c r="EM55" s="120">
        <f t="shared" si="48"/>
        <v>0</v>
      </c>
      <c r="EN55" s="119">
        <f t="shared" ref="EN55:ES55" si="49">EN46-EN54</f>
        <v>0</v>
      </c>
      <c r="EO55" s="120">
        <f t="shared" si="49"/>
        <v>0</v>
      </c>
      <c r="EP55" s="120">
        <f t="shared" si="49"/>
        <v>0</v>
      </c>
      <c r="EQ55" s="120">
        <f t="shared" si="49"/>
        <v>0</v>
      </c>
      <c r="ER55" s="120">
        <f t="shared" si="49"/>
        <v>0</v>
      </c>
      <c r="ES55" s="121">
        <f t="shared" si="49"/>
        <v>0</v>
      </c>
      <c r="ET55" s="221" t="s">
        <v>33</v>
      </c>
      <c r="EU55" s="123" t="s">
        <v>49</v>
      </c>
    </row>
    <row r="56" spans="2:151" ht="12.75" customHeight="1" x14ac:dyDescent="0.2">
      <c r="B56" s="139"/>
      <c r="C56" s="125" t="s">
        <v>50</v>
      </c>
      <c r="D56" s="126"/>
      <c r="E56" s="126"/>
      <c r="F56" s="127"/>
      <c r="G56" s="128">
        <f>SUM(I56:AD56)</f>
        <v>0</v>
      </c>
      <c r="H56" s="129"/>
      <c r="I56" s="130">
        <f t="shared" ref="I56:X57" si="50">SUM(AE56,AV56,BM56,CD56,CU56,DL56,EC56)</f>
        <v>0</v>
      </c>
      <c r="J56" s="222">
        <f t="shared" si="50"/>
        <v>0</v>
      </c>
      <c r="K56" s="131">
        <f t="shared" si="50"/>
        <v>0</v>
      </c>
      <c r="L56" s="131">
        <f t="shared" si="50"/>
        <v>0</v>
      </c>
      <c r="M56" s="131">
        <f t="shared" si="50"/>
        <v>0</v>
      </c>
      <c r="N56" s="131">
        <f t="shared" si="50"/>
        <v>0</v>
      </c>
      <c r="O56" s="131">
        <f t="shared" si="50"/>
        <v>0</v>
      </c>
      <c r="P56" s="223">
        <f t="shared" si="50"/>
        <v>0</v>
      </c>
      <c r="Q56" s="223">
        <f t="shared" si="50"/>
        <v>0</v>
      </c>
      <c r="R56" s="223">
        <f t="shared" si="50"/>
        <v>0</v>
      </c>
      <c r="S56" s="223">
        <f t="shared" si="50"/>
        <v>0</v>
      </c>
      <c r="T56" s="223">
        <f t="shared" si="50"/>
        <v>0</v>
      </c>
      <c r="U56" s="223">
        <f t="shared" si="50"/>
        <v>0</v>
      </c>
      <c r="V56" s="223">
        <f t="shared" si="50"/>
        <v>0</v>
      </c>
      <c r="W56" s="223">
        <f t="shared" si="50"/>
        <v>0</v>
      </c>
      <c r="X56" s="223">
        <f t="shared" si="50"/>
        <v>0</v>
      </c>
      <c r="Y56" s="224"/>
      <c r="Z56" s="224"/>
      <c r="AA56" s="224"/>
      <c r="AB56" s="225"/>
      <c r="AC56" s="224"/>
      <c r="AD56" s="226"/>
      <c r="AE56" s="134"/>
      <c r="AF56" s="227"/>
      <c r="AG56" s="135"/>
      <c r="AH56" s="135"/>
      <c r="AI56" s="135"/>
      <c r="AJ56" s="135"/>
      <c r="AK56" s="135"/>
      <c r="AL56" s="228"/>
      <c r="AM56" s="228"/>
      <c r="AN56" s="229"/>
      <c r="AO56" s="229"/>
      <c r="AP56" s="228"/>
      <c r="AQ56" s="229"/>
      <c r="AR56" s="229"/>
      <c r="AS56" s="229"/>
      <c r="AT56" s="228"/>
      <c r="AU56" s="230"/>
      <c r="AV56" s="134"/>
      <c r="AW56" s="227"/>
      <c r="AX56" s="135"/>
      <c r="AY56" s="135"/>
      <c r="AZ56" s="135"/>
      <c r="BA56" s="135"/>
      <c r="BB56" s="135"/>
      <c r="BC56" s="228"/>
      <c r="BD56" s="228"/>
      <c r="BE56" s="229"/>
      <c r="BF56" s="229"/>
      <c r="BG56" s="228"/>
      <c r="BH56" s="229"/>
      <c r="BI56" s="229"/>
      <c r="BJ56" s="229"/>
      <c r="BK56" s="228"/>
      <c r="BL56" s="137"/>
      <c r="BM56" s="134"/>
      <c r="BN56" s="227"/>
      <c r="BO56" s="135"/>
      <c r="BP56" s="135"/>
      <c r="BQ56" s="135"/>
      <c r="BR56" s="135"/>
      <c r="BS56" s="135"/>
      <c r="BT56" s="228"/>
      <c r="BU56" s="228"/>
      <c r="BV56" s="229"/>
      <c r="BW56" s="229"/>
      <c r="BX56" s="228"/>
      <c r="BY56" s="229"/>
      <c r="BZ56" s="229"/>
      <c r="CA56" s="229"/>
      <c r="CB56" s="228"/>
      <c r="CC56" s="231"/>
      <c r="CD56" s="134"/>
      <c r="CE56" s="227"/>
      <c r="CF56" s="135"/>
      <c r="CG56" s="135"/>
      <c r="CH56" s="135"/>
      <c r="CI56" s="135"/>
      <c r="CJ56" s="135"/>
      <c r="CK56" s="228"/>
      <c r="CL56" s="228"/>
      <c r="CM56" s="229"/>
      <c r="CN56" s="229"/>
      <c r="CO56" s="228"/>
      <c r="CP56" s="229"/>
      <c r="CQ56" s="229"/>
      <c r="CR56" s="229"/>
      <c r="CS56" s="228"/>
      <c r="CT56" s="230"/>
      <c r="CU56" s="134"/>
      <c r="CV56" s="227"/>
      <c r="CW56" s="135"/>
      <c r="CX56" s="135"/>
      <c r="CY56" s="135"/>
      <c r="CZ56" s="135"/>
      <c r="DA56" s="135"/>
      <c r="DB56" s="228"/>
      <c r="DC56" s="228"/>
      <c r="DD56" s="229"/>
      <c r="DE56" s="229"/>
      <c r="DF56" s="228"/>
      <c r="DG56" s="229"/>
      <c r="DH56" s="229"/>
      <c r="DI56" s="229"/>
      <c r="DJ56" s="228"/>
      <c r="DK56" s="230"/>
      <c r="DL56" s="134"/>
      <c r="DM56" s="227"/>
      <c r="DN56" s="135"/>
      <c r="DO56" s="135"/>
      <c r="DP56" s="135"/>
      <c r="DQ56" s="135"/>
      <c r="DR56" s="135"/>
      <c r="DS56" s="228"/>
      <c r="DT56" s="228"/>
      <c r="DU56" s="229"/>
      <c r="DV56" s="229"/>
      <c r="DW56" s="228"/>
      <c r="DX56" s="229"/>
      <c r="DY56" s="229"/>
      <c r="DZ56" s="229"/>
      <c r="EA56" s="228"/>
      <c r="EB56" s="230"/>
      <c r="EC56" s="134"/>
      <c r="ED56" s="227"/>
      <c r="EE56" s="135"/>
      <c r="EF56" s="135"/>
      <c r="EG56" s="135"/>
      <c r="EH56" s="135"/>
      <c r="EI56" s="135"/>
      <c r="EJ56" s="228"/>
      <c r="EK56" s="228"/>
      <c r="EL56" s="229"/>
      <c r="EM56" s="229"/>
      <c r="EN56" s="228"/>
      <c r="EO56" s="229"/>
      <c r="EP56" s="229"/>
      <c r="EQ56" s="229"/>
      <c r="ER56" s="228"/>
      <c r="ES56" s="230"/>
      <c r="ET56" s="216" t="s">
        <v>33</v>
      </c>
      <c r="EU56" s="76" t="s">
        <v>51</v>
      </c>
    </row>
    <row r="57" spans="2:151" ht="12.75" customHeight="1" x14ac:dyDescent="0.2">
      <c r="B57" s="139"/>
      <c r="C57" s="140" t="s">
        <v>52</v>
      </c>
      <c r="D57" s="141"/>
      <c r="E57" s="141"/>
      <c r="F57" s="142"/>
      <c r="G57" s="107">
        <f>SUM(I57:AD57)</f>
        <v>0</v>
      </c>
      <c r="H57" s="108"/>
      <c r="I57" s="143">
        <f t="shared" si="50"/>
        <v>0</v>
      </c>
      <c r="J57" s="232">
        <f t="shared" si="50"/>
        <v>0</v>
      </c>
      <c r="K57" s="144">
        <f t="shared" si="50"/>
        <v>0</v>
      </c>
      <c r="L57" s="144">
        <f t="shared" si="50"/>
        <v>0</v>
      </c>
      <c r="M57" s="144">
        <f t="shared" si="50"/>
        <v>0</v>
      </c>
      <c r="N57" s="144">
        <f t="shared" si="50"/>
        <v>0</v>
      </c>
      <c r="O57" s="144">
        <f t="shared" si="50"/>
        <v>0</v>
      </c>
      <c r="P57" s="233">
        <f t="shared" si="50"/>
        <v>0</v>
      </c>
      <c r="Q57" s="233">
        <f t="shared" si="50"/>
        <v>0</v>
      </c>
      <c r="R57" s="233">
        <f t="shared" si="50"/>
        <v>0</v>
      </c>
      <c r="S57" s="233">
        <f t="shared" si="50"/>
        <v>0</v>
      </c>
      <c r="T57" s="233">
        <f t="shared" si="50"/>
        <v>0</v>
      </c>
      <c r="U57" s="233">
        <f t="shared" si="50"/>
        <v>0</v>
      </c>
      <c r="V57" s="233">
        <f t="shared" si="50"/>
        <v>0</v>
      </c>
      <c r="W57" s="233">
        <f t="shared" si="50"/>
        <v>0</v>
      </c>
      <c r="X57" s="233">
        <f t="shared" si="50"/>
        <v>0</v>
      </c>
      <c r="Y57" s="234"/>
      <c r="Z57" s="234"/>
      <c r="AA57" s="234"/>
      <c r="AB57" s="235"/>
      <c r="AC57" s="234"/>
      <c r="AD57" s="236"/>
      <c r="AE57" s="145"/>
      <c r="AF57" s="237"/>
      <c r="AG57" s="94"/>
      <c r="AH57" s="94"/>
      <c r="AI57" s="94"/>
      <c r="AJ57" s="94"/>
      <c r="AK57" s="94"/>
      <c r="AL57" s="238"/>
      <c r="AM57" s="238"/>
      <c r="AN57" s="239"/>
      <c r="AO57" s="239"/>
      <c r="AP57" s="238"/>
      <c r="AQ57" s="239"/>
      <c r="AR57" s="239"/>
      <c r="AS57" s="239"/>
      <c r="AT57" s="238"/>
      <c r="AU57" s="240"/>
      <c r="AV57" s="145"/>
      <c r="AW57" s="237"/>
      <c r="AX57" s="94"/>
      <c r="AY57" s="94"/>
      <c r="AZ57" s="94"/>
      <c r="BA57" s="94"/>
      <c r="BB57" s="94"/>
      <c r="BC57" s="238"/>
      <c r="BD57" s="238"/>
      <c r="BE57" s="239"/>
      <c r="BF57" s="239"/>
      <c r="BG57" s="238"/>
      <c r="BH57" s="239"/>
      <c r="BI57" s="239"/>
      <c r="BJ57" s="239"/>
      <c r="BK57" s="238"/>
      <c r="BL57" s="240"/>
      <c r="BM57" s="145"/>
      <c r="BN57" s="237"/>
      <c r="BO57" s="94"/>
      <c r="BP57" s="94"/>
      <c r="BQ57" s="94"/>
      <c r="BR57" s="94"/>
      <c r="BS57" s="94"/>
      <c r="BT57" s="238"/>
      <c r="BU57" s="238"/>
      <c r="BV57" s="239"/>
      <c r="BW57" s="239"/>
      <c r="BX57" s="238"/>
      <c r="BY57" s="239"/>
      <c r="BZ57" s="239"/>
      <c r="CA57" s="239"/>
      <c r="CB57" s="238"/>
      <c r="CC57" s="241"/>
      <c r="CD57" s="145"/>
      <c r="CE57" s="237"/>
      <c r="CF57" s="94"/>
      <c r="CG57" s="94"/>
      <c r="CH57" s="94"/>
      <c r="CI57" s="94"/>
      <c r="CJ57" s="94"/>
      <c r="CK57" s="238"/>
      <c r="CL57" s="238"/>
      <c r="CM57" s="239"/>
      <c r="CN57" s="239"/>
      <c r="CO57" s="238"/>
      <c r="CP57" s="239"/>
      <c r="CQ57" s="239"/>
      <c r="CR57" s="239"/>
      <c r="CS57" s="238"/>
      <c r="CT57" s="240"/>
      <c r="CU57" s="145"/>
      <c r="CV57" s="237"/>
      <c r="CW57" s="94"/>
      <c r="CX57" s="94"/>
      <c r="CY57" s="94"/>
      <c r="CZ57" s="94"/>
      <c r="DA57" s="94"/>
      <c r="DB57" s="238"/>
      <c r="DC57" s="238"/>
      <c r="DD57" s="239"/>
      <c r="DE57" s="239"/>
      <c r="DF57" s="238"/>
      <c r="DG57" s="239"/>
      <c r="DH57" s="239"/>
      <c r="DI57" s="239"/>
      <c r="DJ57" s="238"/>
      <c r="DK57" s="240"/>
      <c r="DL57" s="145"/>
      <c r="DM57" s="237"/>
      <c r="DN57" s="94"/>
      <c r="DO57" s="94"/>
      <c r="DP57" s="94"/>
      <c r="DQ57" s="94"/>
      <c r="DR57" s="94"/>
      <c r="DS57" s="238"/>
      <c r="DT57" s="238"/>
      <c r="DU57" s="239"/>
      <c r="DV57" s="239"/>
      <c r="DW57" s="238"/>
      <c r="DX57" s="239"/>
      <c r="DY57" s="239"/>
      <c r="DZ57" s="239"/>
      <c r="EA57" s="238"/>
      <c r="EB57" s="240"/>
      <c r="EC57" s="145"/>
      <c r="ED57" s="237"/>
      <c r="EE57" s="94"/>
      <c r="EF57" s="94"/>
      <c r="EG57" s="94"/>
      <c r="EH57" s="94"/>
      <c r="EI57" s="94"/>
      <c r="EJ57" s="238"/>
      <c r="EK57" s="238"/>
      <c r="EL57" s="239"/>
      <c r="EM57" s="239"/>
      <c r="EN57" s="238"/>
      <c r="EO57" s="239"/>
      <c r="EP57" s="239"/>
      <c r="EQ57" s="239"/>
      <c r="ER57" s="238"/>
      <c r="ES57" s="240"/>
      <c r="ET57" s="242" t="s">
        <v>33</v>
      </c>
      <c r="EU57" s="147" t="s">
        <v>53</v>
      </c>
    </row>
    <row r="58" spans="2:151" ht="14.25" customHeight="1" thickBot="1" x14ac:dyDescent="0.25">
      <c r="B58" s="148"/>
      <c r="C58" s="149" t="s">
        <v>54</v>
      </c>
      <c r="D58" s="150"/>
      <c r="E58" s="150"/>
      <c r="F58" s="151"/>
      <c r="G58" s="116">
        <f t="shared" ref="G58:BU58" si="51">G55-G56-G57</f>
        <v>93110</v>
      </c>
      <c r="H58" s="117">
        <f t="shared" si="51"/>
        <v>0</v>
      </c>
      <c r="I58" s="152">
        <f t="shared" si="51"/>
        <v>-49121</v>
      </c>
      <c r="J58" s="243">
        <f t="shared" si="51"/>
        <v>0</v>
      </c>
      <c r="K58" s="120">
        <f t="shared" si="51"/>
        <v>0</v>
      </c>
      <c r="L58" s="120">
        <f t="shared" si="51"/>
        <v>119017</v>
      </c>
      <c r="M58" s="120">
        <f t="shared" si="51"/>
        <v>0</v>
      </c>
      <c r="N58" s="120">
        <f t="shared" si="51"/>
        <v>0</v>
      </c>
      <c r="O58" s="120">
        <f t="shared" si="51"/>
        <v>-8085</v>
      </c>
      <c r="P58" s="244">
        <f t="shared" si="51"/>
        <v>3779</v>
      </c>
      <c r="Q58" s="244">
        <f t="shared" si="51"/>
        <v>0</v>
      </c>
      <c r="R58" s="244">
        <f t="shared" si="51"/>
        <v>1922</v>
      </c>
      <c r="S58" s="244">
        <f t="shared" si="51"/>
        <v>0</v>
      </c>
      <c r="T58" s="244">
        <f t="shared" si="51"/>
        <v>0</v>
      </c>
      <c r="U58" s="244">
        <f t="shared" si="51"/>
        <v>75857</v>
      </c>
      <c r="V58" s="244">
        <f t="shared" si="51"/>
        <v>0</v>
      </c>
      <c r="W58" s="244">
        <f t="shared" si="51"/>
        <v>0</v>
      </c>
      <c r="X58" s="244">
        <f t="shared" si="51"/>
        <v>0</v>
      </c>
      <c r="Y58" s="244">
        <f t="shared" si="51"/>
        <v>0</v>
      </c>
      <c r="Z58" s="244">
        <f t="shared" si="51"/>
        <v>0</v>
      </c>
      <c r="AA58" s="244">
        <f t="shared" si="51"/>
        <v>0</v>
      </c>
      <c r="AB58" s="245">
        <f>AB55-AB56-AB57</f>
        <v>0</v>
      </c>
      <c r="AC58" s="244">
        <f>AC55-AC56-AC57</f>
        <v>0</v>
      </c>
      <c r="AD58" s="246">
        <f t="shared" si="51"/>
        <v>-969</v>
      </c>
      <c r="AE58" s="152">
        <f t="shared" si="51"/>
        <v>-49121</v>
      </c>
      <c r="AF58" s="243">
        <f t="shared" si="51"/>
        <v>0</v>
      </c>
      <c r="AG58" s="120">
        <f t="shared" si="51"/>
        <v>0</v>
      </c>
      <c r="AH58" s="120">
        <f t="shared" si="51"/>
        <v>119017</v>
      </c>
      <c r="AI58" s="120">
        <f t="shared" si="51"/>
        <v>0</v>
      </c>
      <c r="AJ58" s="120">
        <f t="shared" si="51"/>
        <v>0</v>
      </c>
      <c r="AK58" s="120">
        <f t="shared" si="51"/>
        <v>-8085</v>
      </c>
      <c r="AL58" s="244">
        <f t="shared" si="51"/>
        <v>3779</v>
      </c>
      <c r="AM58" s="244">
        <f t="shared" si="51"/>
        <v>0</v>
      </c>
      <c r="AN58" s="244">
        <f t="shared" si="51"/>
        <v>1922</v>
      </c>
      <c r="AO58" s="244">
        <f t="shared" si="51"/>
        <v>0</v>
      </c>
      <c r="AP58" s="244">
        <f t="shared" si="51"/>
        <v>0</v>
      </c>
      <c r="AQ58" s="244">
        <f t="shared" si="51"/>
        <v>75857</v>
      </c>
      <c r="AR58" s="244">
        <f t="shared" si="51"/>
        <v>0</v>
      </c>
      <c r="AS58" s="244">
        <f t="shared" si="51"/>
        <v>0</v>
      </c>
      <c r="AT58" s="120">
        <f t="shared" si="51"/>
        <v>0</v>
      </c>
      <c r="AU58" s="246">
        <f t="shared" si="51"/>
        <v>0</v>
      </c>
      <c r="AV58" s="152">
        <f t="shared" si="51"/>
        <v>0</v>
      </c>
      <c r="AW58" s="243">
        <f t="shared" si="51"/>
        <v>0</v>
      </c>
      <c r="AX58" s="120">
        <f t="shared" si="51"/>
        <v>0</v>
      </c>
      <c r="AY58" s="120">
        <f t="shared" si="51"/>
        <v>0</v>
      </c>
      <c r="AZ58" s="120">
        <f t="shared" si="51"/>
        <v>0</v>
      </c>
      <c r="BA58" s="120">
        <f t="shared" si="51"/>
        <v>0</v>
      </c>
      <c r="BB58" s="120">
        <f t="shared" si="51"/>
        <v>0</v>
      </c>
      <c r="BC58" s="244">
        <f t="shared" si="51"/>
        <v>0</v>
      </c>
      <c r="BD58" s="244">
        <f t="shared" si="51"/>
        <v>0</v>
      </c>
      <c r="BE58" s="244">
        <f t="shared" si="51"/>
        <v>0</v>
      </c>
      <c r="BF58" s="244">
        <f t="shared" si="51"/>
        <v>0</v>
      </c>
      <c r="BG58" s="244">
        <f t="shared" si="51"/>
        <v>0</v>
      </c>
      <c r="BH58" s="244">
        <f t="shared" si="51"/>
        <v>0</v>
      </c>
      <c r="BI58" s="244">
        <f t="shared" si="51"/>
        <v>0</v>
      </c>
      <c r="BJ58" s="244">
        <f t="shared" si="51"/>
        <v>0</v>
      </c>
      <c r="BK58" s="244">
        <f t="shared" si="51"/>
        <v>0</v>
      </c>
      <c r="BL58" s="246">
        <f t="shared" si="51"/>
        <v>0</v>
      </c>
      <c r="BM58" s="152">
        <f t="shared" si="51"/>
        <v>0</v>
      </c>
      <c r="BN58" s="243">
        <f t="shared" si="51"/>
        <v>0</v>
      </c>
      <c r="BO58" s="120">
        <f t="shared" si="51"/>
        <v>0</v>
      </c>
      <c r="BP58" s="120">
        <f t="shared" si="51"/>
        <v>0</v>
      </c>
      <c r="BQ58" s="120">
        <f t="shared" si="51"/>
        <v>0</v>
      </c>
      <c r="BR58" s="120">
        <f t="shared" si="51"/>
        <v>0</v>
      </c>
      <c r="BS58" s="120">
        <f t="shared" si="51"/>
        <v>0</v>
      </c>
      <c r="BT58" s="244">
        <f t="shared" si="51"/>
        <v>0</v>
      </c>
      <c r="BU58" s="244">
        <f t="shared" si="51"/>
        <v>0</v>
      </c>
      <c r="BV58" s="244">
        <f t="shared" ref="BV58:EK58" si="52">BV55-BV56-BV57</f>
        <v>0</v>
      </c>
      <c r="BW58" s="244">
        <f t="shared" si="52"/>
        <v>0</v>
      </c>
      <c r="BX58" s="244">
        <f t="shared" si="52"/>
        <v>0</v>
      </c>
      <c r="BY58" s="244">
        <f t="shared" si="52"/>
        <v>0</v>
      </c>
      <c r="BZ58" s="244">
        <f t="shared" si="52"/>
        <v>0</v>
      </c>
      <c r="CA58" s="244">
        <f t="shared" si="52"/>
        <v>0</v>
      </c>
      <c r="CB58" s="244">
        <f t="shared" si="52"/>
        <v>0</v>
      </c>
      <c r="CC58" s="247">
        <f t="shared" si="52"/>
        <v>0</v>
      </c>
      <c r="CD58" s="152">
        <f t="shared" si="52"/>
        <v>0</v>
      </c>
      <c r="CE58" s="243">
        <f t="shared" si="52"/>
        <v>0</v>
      </c>
      <c r="CF58" s="120">
        <f t="shared" si="52"/>
        <v>0</v>
      </c>
      <c r="CG58" s="120">
        <f t="shared" si="52"/>
        <v>0</v>
      </c>
      <c r="CH58" s="120">
        <f t="shared" si="52"/>
        <v>0</v>
      </c>
      <c r="CI58" s="120">
        <f t="shared" si="52"/>
        <v>0</v>
      </c>
      <c r="CJ58" s="120">
        <f t="shared" si="52"/>
        <v>0</v>
      </c>
      <c r="CK58" s="244">
        <f t="shared" si="52"/>
        <v>0</v>
      </c>
      <c r="CL58" s="244">
        <f t="shared" si="52"/>
        <v>0</v>
      </c>
      <c r="CM58" s="244">
        <f t="shared" si="52"/>
        <v>0</v>
      </c>
      <c r="CN58" s="244">
        <f t="shared" si="52"/>
        <v>0</v>
      </c>
      <c r="CO58" s="244">
        <f t="shared" si="52"/>
        <v>0</v>
      </c>
      <c r="CP58" s="244">
        <f t="shared" si="52"/>
        <v>0</v>
      </c>
      <c r="CQ58" s="244">
        <f t="shared" si="52"/>
        <v>0</v>
      </c>
      <c r="CR58" s="244">
        <f t="shared" si="52"/>
        <v>0</v>
      </c>
      <c r="CS58" s="244">
        <f t="shared" si="52"/>
        <v>0</v>
      </c>
      <c r="CT58" s="246">
        <f t="shared" si="52"/>
        <v>0</v>
      </c>
      <c r="CU58" s="152">
        <f t="shared" si="52"/>
        <v>0</v>
      </c>
      <c r="CV58" s="243">
        <f t="shared" si="52"/>
        <v>0</v>
      </c>
      <c r="CW58" s="120">
        <f t="shared" si="52"/>
        <v>0</v>
      </c>
      <c r="CX58" s="120">
        <f t="shared" si="52"/>
        <v>0</v>
      </c>
      <c r="CY58" s="120">
        <f t="shared" si="52"/>
        <v>0</v>
      </c>
      <c r="CZ58" s="120">
        <f t="shared" si="52"/>
        <v>0</v>
      </c>
      <c r="DA58" s="120">
        <f t="shared" si="52"/>
        <v>0</v>
      </c>
      <c r="DB58" s="244">
        <f t="shared" si="52"/>
        <v>0</v>
      </c>
      <c r="DC58" s="244">
        <f t="shared" si="52"/>
        <v>0</v>
      </c>
      <c r="DD58" s="244">
        <f t="shared" si="52"/>
        <v>0</v>
      </c>
      <c r="DE58" s="244">
        <f t="shared" si="52"/>
        <v>0</v>
      </c>
      <c r="DF58" s="244">
        <f t="shared" si="52"/>
        <v>0</v>
      </c>
      <c r="DG58" s="244">
        <f t="shared" si="52"/>
        <v>0</v>
      </c>
      <c r="DH58" s="244">
        <f t="shared" si="52"/>
        <v>0</v>
      </c>
      <c r="DI58" s="244">
        <f t="shared" si="52"/>
        <v>0</v>
      </c>
      <c r="DJ58" s="244">
        <f t="shared" si="52"/>
        <v>0</v>
      </c>
      <c r="DK58" s="246">
        <f t="shared" si="52"/>
        <v>0</v>
      </c>
      <c r="DL58" s="152">
        <f t="shared" si="52"/>
        <v>0</v>
      </c>
      <c r="DM58" s="243">
        <f t="shared" si="52"/>
        <v>0</v>
      </c>
      <c r="DN58" s="120">
        <f t="shared" si="52"/>
        <v>0</v>
      </c>
      <c r="DO58" s="120">
        <f t="shared" si="52"/>
        <v>0</v>
      </c>
      <c r="DP58" s="120">
        <f t="shared" si="52"/>
        <v>0</v>
      </c>
      <c r="DQ58" s="120">
        <f t="shared" si="52"/>
        <v>0</v>
      </c>
      <c r="DR58" s="120">
        <f t="shared" si="52"/>
        <v>0</v>
      </c>
      <c r="DS58" s="244">
        <f t="shared" si="52"/>
        <v>0</v>
      </c>
      <c r="DT58" s="244">
        <f t="shared" si="52"/>
        <v>0</v>
      </c>
      <c r="DU58" s="244">
        <f t="shared" si="52"/>
        <v>0</v>
      </c>
      <c r="DV58" s="244">
        <f t="shared" si="52"/>
        <v>0</v>
      </c>
      <c r="DW58" s="244">
        <f t="shared" si="52"/>
        <v>0</v>
      </c>
      <c r="DX58" s="244">
        <f t="shared" si="52"/>
        <v>0</v>
      </c>
      <c r="DY58" s="244">
        <f t="shared" si="52"/>
        <v>0</v>
      </c>
      <c r="DZ58" s="244">
        <f t="shared" si="52"/>
        <v>0</v>
      </c>
      <c r="EA58" s="244">
        <f t="shared" si="52"/>
        <v>0</v>
      </c>
      <c r="EB58" s="246">
        <f t="shared" si="52"/>
        <v>0</v>
      </c>
      <c r="EC58" s="152">
        <f t="shared" si="52"/>
        <v>0</v>
      </c>
      <c r="ED58" s="243">
        <f t="shared" si="52"/>
        <v>0</v>
      </c>
      <c r="EE58" s="120">
        <f t="shared" si="52"/>
        <v>0</v>
      </c>
      <c r="EF58" s="120">
        <f t="shared" si="52"/>
        <v>0</v>
      </c>
      <c r="EG58" s="120">
        <f t="shared" si="52"/>
        <v>0</v>
      </c>
      <c r="EH58" s="120">
        <f t="shared" si="52"/>
        <v>0</v>
      </c>
      <c r="EI58" s="120">
        <f t="shared" si="52"/>
        <v>0</v>
      </c>
      <c r="EJ58" s="244">
        <f t="shared" si="52"/>
        <v>0</v>
      </c>
      <c r="EK58" s="244">
        <f t="shared" si="52"/>
        <v>0</v>
      </c>
      <c r="EL58" s="244">
        <f t="shared" ref="EL58:ES58" si="53">EL55-EL56-EL57</f>
        <v>0</v>
      </c>
      <c r="EM58" s="244">
        <f t="shared" si="53"/>
        <v>0</v>
      </c>
      <c r="EN58" s="244">
        <f t="shared" si="53"/>
        <v>0</v>
      </c>
      <c r="EO58" s="244">
        <f t="shared" si="53"/>
        <v>0</v>
      </c>
      <c r="EP58" s="244">
        <f t="shared" si="53"/>
        <v>0</v>
      </c>
      <c r="EQ58" s="244">
        <f t="shared" si="53"/>
        <v>0</v>
      </c>
      <c r="ER58" s="244">
        <f t="shared" si="53"/>
        <v>0</v>
      </c>
      <c r="ES58" s="246">
        <f t="shared" si="53"/>
        <v>0</v>
      </c>
      <c r="ET58" s="221" t="s">
        <v>33</v>
      </c>
      <c r="EU58" s="123" t="s">
        <v>55</v>
      </c>
    </row>
    <row r="59" spans="2:151" ht="14.25" customHeight="1" x14ac:dyDescent="0.2">
      <c r="B59" s="124"/>
      <c r="C59" s="161" t="s">
        <v>56</v>
      </c>
      <c r="D59" s="161"/>
      <c r="E59" s="161"/>
      <c r="F59" s="162"/>
      <c r="G59" s="156">
        <f>SUM(I59:W59,Y59:AA59)</f>
        <v>0</v>
      </c>
      <c r="H59" s="157"/>
      <c r="I59" s="130">
        <f t="shared" ref="I59:W59" si="54">SUM(AE59,AV59,BM59,CD59,CU59,DL59,EC59)</f>
        <v>0</v>
      </c>
      <c r="J59" s="222">
        <f t="shared" si="54"/>
        <v>0</v>
      </c>
      <c r="K59" s="131">
        <f t="shared" si="54"/>
        <v>0</v>
      </c>
      <c r="L59" s="131">
        <f t="shared" si="54"/>
        <v>0</v>
      </c>
      <c r="M59" s="131">
        <f t="shared" si="54"/>
        <v>0</v>
      </c>
      <c r="N59" s="131">
        <f t="shared" si="54"/>
        <v>0</v>
      </c>
      <c r="O59" s="131">
        <f t="shared" si="54"/>
        <v>0</v>
      </c>
      <c r="P59" s="131">
        <f t="shared" si="54"/>
        <v>0</v>
      </c>
      <c r="Q59" s="131">
        <f t="shared" si="54"/>
        <v>0</v>
      </c>
      <c r="R59" s="131">
        <f t="shared" si="54"/>
        <v>0</v>
      </c>
      <c r="S59" s="131">
        <f t="shared" si="54"/>
        <v>0</v>
      </c>
      <c r="T59" s="131">
        <f t="shared" si="54"/>
        <v>0</v>
      </c>
      <c r="U59" s="131">
        <f t="shared" si="54"/>
        <v>0</v>
      </c>
      <c r="V59" s="131">
        <f t="shared" si="54"/>
        <v>0</v>
      </c>
      <c r="W59" s="131">
        <f t="shared" si="54"/>
        <v>0</v>
      </c>
      <c r="X59" s="158" t="s">
        <v>33</v>
      </c>
      <c r="Y59" s="132"/>
      <c r="Z59" s="132"/>
      <c r="AA59" s="132"/>
      <c r="AB59" s="248" t="s">
        <v>33</v>
      </c>
      <c r="AC59" s="249" t="s">
        <v>33</v>
      </c>
      <c r="AD59" s="250" t="s">
        <v>33</v>
      </c>
      <c r="AE59" s="134"/>
      <c r="AF59" s="227"/>
      <c r="AG59" s="135"/>
      <c r="AH59" s="135"/>
      <c r="AI59" s="135"/>
      <c r="AJ59" s="135"/>
      <c r="AK59" s="135"/>
      <c r="AL59" s="136"/>
      <c r="AM59" s="136"/>
      <c r="AN59" s="136"/>
      <c r="AO59" s="136"/>
      <c r="AP59" s="135"/>
      <c r="AQ59" s="136"/>
      <c r="AR59" s="136"/>
      <c r="AS59" s="136"/>
      <c r="AT59" s="249" t="s">
        <v>33</v>
      </c>
      <c r="AU59" s="250" t="s">
        <v>33</v>
      </c>
      <c r="AV59" s="134"/>
      <c r="AW59" s="227"/>
      <c r="AX59" s="135"/>
      <c r="AY59" s="135"/>
      <c r="AZ59" s="135"/>
      <c r="BA59" s="135"/>
      <c r="BB59" s="135"/>
      <c r="BC59" s="136"/>
      <c r="BD59" s="136"/>
      <c r="BE59" s="136"/>
      <c r="BF59" s="136"/>
      <c r="BG59" s="135"/>
      <c r="BH59" s="136"/>
      <c r="BI59" s="136"/>
      <c r="BJ59" s="136"/>
      <c r="BK59" s="249" t="s">
        <v>33</v>
      </c>
      <c r="BL59" s="250" t="s">
        <v>33</v>
      </c>
      <c r="BM59" s="134"/>
      <c r="BN59" s="227"/>
      <c r="BO59" s="135"/>
      <c r="BP59" s="135"/>
      <c r="BQ59" s="135"/>
      <c r="BR59" s="135"/>
      <c r="BS59" s="135"/>
      <c r="BT59" s="136"/>
      <c r="BU59" s="136"/>
      <c r="BV59" s="136"/>
      <c r="BW59" s="136"/>
      <c r="BX59" s="135"/>
      <c r="BY59" s="136"/>
      <c r="BZ59" s="136"/>
      <c r="CA59" s="136"/>
      <c r="CB59" s="249" t="s">
        <v>33</v>
      </c>
      <c r="CC59" s="251" t="s">
        <v>33</v>
      </c>
      <c r="CD59" s="134"/>
      <c r="CE59" s="227"/>
      <c r="CF59" s="135"/>
      <c r="CG59" s="135"/>
      <c r="CH59" s="135"/>
      <c r="CI59" s="135"/>
      <c r="CJ59" s="135"/>
      <c r="CK59" s="136"/>
      <c r="CL59" s="136"/>
      <c r="CM59" s="136"/>
      <c r="CN59" s="136"/>
      <c r="CO59" s="135"/>
      <c r="CP59" s="136"/>
      <c r="CQ59" s="136"/>
      <c r="CR59" s="136"/>
      <c r="CS59" s="252" t="s">
        <v>33</v>
      </c>
      <c r="CT59" s="250" t="s">
        <v>33</v>
      </c>
      <c r="CU59" s="134"/>
      <c r="CV59" s="227"/>
      <c r="CW59" s="135"/>
      <c r="CX59" s="135"/>
      <c r="CY59" s="135"/>
      <c r="CZ59" s="135"/>
      <c r="DA59" s="135"/>
      <c r="DB59" s="136"/>
      <c r="DC59" s="136"/>
      <c r="DD59" s="136"/>
      <c r="DE59" s="136"/>
      <c r="DF59" s="135"/>
      <c r="DG59" s="136"/>
      <c r="DH59" s="136"/>
      <c r="DI59" s="136"/>
      <c r="DJ59" s="249" t="s">
        <v>33</v>
      </c>
      <c r="DK59" s="250" t="s">
        <v>33</v>
      </c>
      <c r="DL59" s="134"/>
      <c r="DM59" s="227"/>
      <c r="DN59" s="135"/>
      <c r="DO59" s="135"/>
      <c r="DP59" s="135"/>
      <c r="DQ59" s="135"/>
      <c r="DR59" s="135"/>
      <c r="DS59" s="136"/>
      <c r="DT59" s="136"/>
      <c r="DU59" s="136"/>
      <c r="DV59" s="136"/>
      <c r="DW59" s="135"/>
      <c r="DX59" s="136"/>
      <c r="DY59" s="136"/>
      <c r="DZ59" s="136"/>
      <c r="EA59" s="249" t="s">
        <v>33</v>
      </c>
      <c r="EB59" s="250" t="s">
        <v>33</v>
      </c>
      <c r="EC59" s="134"/>
      <c r="ED59" s="227"/>
      <c r="EE59" s="135"/>
      <c r="EF59" s="135"/>
      <c r="EG59" s="135"/>
      <c r="EH59" s="135"/>
      <c r="EI59" s="135"/>
      <c r="EJ59" s="136"/>
      <c r="EK59" s="136"/>
      <c r="EL59" s="136"/>
      <c r="EM59" s="136"/>
      <c r="EN59" s="135"/>
      <c r="EO59" s="136"/>
      <c r="EP59" s="136"/>
      <c r="EQ59" s="136"/>
      <c r="ER59" s="249" t="s">
        <v>33</v>
      </c>
      <c r="ES59" s="250" t="s">
        <v>33</v>
      </c>
      <c r="ET59" s="214" t="s">
        <v>33</v>
      </c>
      <c r="EU59" s="64" t="s">
        <v>57</v>
      </c>
    </row>
    <row r="60" spans="2:151" ht="14.25" customHeight="1" x14ac:dyDescent="0.2">
      <c r="B60" s="139"/>
      <c r="C60" s="161" t="s">
        <v>58</v>
      </c>
      <c r="D60" s="161"/>
      <c r="E60" s="161"/>
      <c r="F60" s="162"/>
      <c r="G60" s="80">
        <f t="shared" ref="G60:W60" si="55">G58-G59</f>
        <v>93110</v>
      </c>
      <c r="H60" s="81">
        <f t="shared" si="55"/>
        <v>0</v>
      </c>
      <c r="I60" s="163">
        <f t="shared" si="55"/>
        <v>-49121</v>
      </c>
      <c r="J60" s="253">
        <f t="shared" si="55"/>
        <v>0</v>
      </c>
      <c r="K60" s="164">
        <f t="shared" si="55"/>
        <v>0</v>
      </c>
      <c r="L60" s="164">
        <f t="shared" si="55"/>
        <v>119017</v>
      </c>
      <c r="M60" s="164">
        <f t="shared" si="55"/>
        <v>0</v>
      </c>
      <c r="N60" s="164">
        <f t="shared" si="55"/>
        <v>0</v>
      </c>
      <c r="O60" s="164">
        <f t="shared" si="55"/>
        <v>-8085</v>
      </c>
      <c r="P60" s="164">
        <f t="shared" si="55"/>
        <v>3779</v>
      </c>
      <c r="Q60" s="164">
        <f t="shared" si="55"/>
        <v>0</v>
      </c>
      <c r="R60" s="164">
        <f t="shared" si="55"/>
        <v>1922</v>
      </c>
      <c r="S60" s="164">
        <f t="shared" si="55"/>
        <v>0</v>
      </c>
      <c r="T60" s="164">
        <f t="shared" si="55"/>
        <v>0</v>
      </c>
      <c r="U60" s="164">
        <f t="shared" si="55"/>
        <v>75857</v>
      </c>
      <c r="V60" s="164">
        <f t="shared" si="55"/>
        <v>0</v>
      </c>
      <c r="W60" s="164">
        <f t="shared" si="55"/>
        <v>0</v>
      </c>
      <c r="X60" s="254" t="s">
        <v>33</v>
      </c>
      <c r="Y60" s="164">
        <f>Y58-Y59</f>
        <v>0</v>
      </c>
      <c r="Z60" s="164">
        <f>Z58-Z59</f>
        <v>0</v>
      </c>
      <c r="AA60" s="164">
        <f>AA58-AA59</f>
        <v>0</v>
      </c>
      <c r="AB60" s="85" t="s">
        <v>33</v>
      </c>
      <c r="AC60" s="85" t="s">
        <v>33</v>
      </c>
      <c r="AD60" s="87" t="s">
        <v>33</v>
      </c>
      <c r="AE60" s="163">
        <f t="shared" ref="AE60:AS60" si="56">AE58-AE59</f>
        <v>-49121</v>
      </c>
      <c r="AF60" s="253">
        <f t="shared" si="56"/>
        <v>0</v>
      </c>
      <c r="AG60" s="164">
        <f t="shared" si="56"/>
        <v>0</v>
      </c>
      <c r="AH60" s="164">
        <f t="shared" si="56"/>
        <v>119017</v>
      </c>
      <c r="AI60" s="164">
        <f t="shared" si="56"/>
        <v>0</v>
      </c>
      <c r="AJ60" s="164">
        <f t="shared" si="56"/>
        <v>0</v>
      </c>
      <c r="AK60" s="164">
        <f t="shared" si="56"/>
        <v>-8085</v>
      </c>
      <c r="AL60" s="164">
        <f t="shared" si="56"/>
        <v>3779</v>
      </c>
      <c r="AM60" s="164">
        <f t="shared" si="56"/>
        <v>0</v>
      </c>
      <c r="AN60" s="164">
        <f t="shared" si="56"/>
        <v>1922</v>
      </c>
      <c r="AO60" s="164">
        <f t="shared" si="56"/>
        <v>0</v>
      </c>
      <c r="AP60" s="164">
        <f t="shared" si="56"/>
        <v>0</v>
      </c>
      <c r="AQ60" s="164">
        <f t="shared" si="56"/>
        <v>75857</v>
      </c>
      <c r="AR60" s="164">
        <f t="shared" si="56"/>
        <v>0</v>
      </c>
      <c r="AS60" s="164">
        <f t="shared" si="56"/>
        <v>0</v>
      </c>
      <c r="AT60" s="85" t="s">
        <v>33</v>
      </c>
      <c r="AU60" s="87" t="s">
        <v>33</v>
      </c>
      <c r="AV60" s="163">
        <f t="shared" ref="AV60:BJ60" si="57">AV58-AV59</f>
        <v>0</v>
      </c>
      <c r="AW60" s="253">
        <f t="shared" si="57"/>
        <v>0</v>
      </c>
      <c r="AX60" s="164">
        <f t="shared" si="57"/>
        <v>0</v>
      </c>
      <c r="AY60" s="164">
        <f t="shared" si="57"/>
        <v>0</v>
      </c>
      <c r="AZ60" s="164">
        <f t="shared" si="57"/>
        <v>0</v>
      </c>
      <c r="BA60" s="164">
        <f t="shared" si="57"/>
        <v>0</v>
      </c>
      <c r="BB60" s="164">
        <f t="shared" si="57"/>
        <v>0</v>
      </c>
      <c r="BC60" s="164">
        <f t="shared" si="57"/>
        <v>0</v>
      </c>
      <c r="BD60" s="164">
        <f t="shared" si="57"/>
        <v>0</v>
      </c>
      <c r="BE60" s="164">
        <f t="shared" si="57"/>
        <v>0</v>
      </c>
      <c r="BF60" s="164">
        <f t="shared" si="57"/>
        <v>0</v>
      </c>
      <c r="BG60" s="164">
        <f t="shared" si="57"/>
        <v>0</v>
      </c>
      <c r="BH60" s="164">
        <f t="shared" si="57"/>
        <v>0</v>
      </c>
      <c r="BI60" s="164">
        <f t="shared" si="57"/>
        <v>0</v>
      </c>
      <c r="BJ60" s="164">
        <f t="shared" si="57"/>
        <v>0</v>
      </c>
      <c r="BK60" s="85" t="s">
        <v>33</v>
      </c>
      <c r="BL60" s="87" t="s">
        <v>33</v>
      </c>
      <c r="BM60" s="163">
        <f t="shared" ref="BM60:CA60" si="58">BM58-BM59</f>
        <v>0</v>
      </c>
      <c r="BN60" s="253">
        <f t="shared" si="58"/>
        <v>0</v>
      </c>
      <c r="BO60" s="164">
        <f t="shared" si="58"/>
        <v>0</v>
      </c>
      <c r="BP60" s="164">
        <f t="shared" si="58"/>
        <v>0</v>
      </c>
      <c r="BQ60" s="164">
        <f t="shared" si="58"/>
        <v>0</v>
      </c>
      <c r="BR60" s="164">
        <f t="shared" si="58"/>
        <v>0</v>
      </c>
      <c r="BS60" s="164">
        <f t="shared" si="58"/>
        <v>0</v>
      </c>
      <c r="BT60" s="164">
        <f t="shared" si="58"/>
        <v>0</v>
      </c>
      <c r="BU60" s="164">
        <f t="shared" si="58"/>
        <v>0</v>
      </c>
      <c r="BV60" s="164">
        <f t="shared" si="58"/>
        <v>0</v>
      </c>
      <c r="BW60" s="164">
        <f t="shared" si="58"/>
        <v>0</v>
      </c>
      <c r="BX60" s="164">
        <f t="shared" si="58"/>
        <v>0</v>
      </c>
      <c r="BY60" s="164">
        <f t="shared" si="58"/>
        <v>0</v>
      </c>
      <c r="BZ60" s="164">
        <f t="shared" si="58"/>
        <v>0</v>
      </c>
      <c r="CA60" s="164">
        <f t="shared" si="58"/>
        <v>0</v>
      </c>
      <c r="CB60" s="85" t="s">
        <v>33</v>
      </c>
      <c r="CC60" s="255" t="s">
        <v>33</v>
      </c>
      <c r="CD60" s="163">
        <f t="shared" ref="CD60:CR60" si="59">CD58-CD59</f>
        <v>0</v>
      </c>
      <c r="CE60" s="253">
        <f t="shared" si="59"/>
        <v>0</v>
      </c>
      <c r="CF60" s="164">
        <f t="shared" si="59"/>
        <v>0</v>
      </c>
      <c r="CG60" s="164">
        <f t="shared" si="59"/>
        <v>0</v>
      </c>
      <c r="CH60" s="164">
        <f t="shared" si="59"/>
        <v>0</v>
      </c>
      <c r="CI60" s="164">
        <f t="shared" si="59"/>
        <v>0</v>
      </c>
      <c r="CJ60" s="164">
        <f t="shared" si="59"/>
        <v>0</v>
      </c>
      <c r="CK60" s="164">
        <f t="shared" si="59"/>
        <v>0</v>
      </c>
      <c r="CL60" s="164">
        <f t="shared" si="59"/>
        <v>0</v>
      </c>
      <c r="CM60" s="164">
        <f t="shared" si="59"/>
        <v>0</v>
      </c>
      <c r="CN60" s="164">
        <f t="shared" si="59"/>
        <v>0</v>
      </c>
      <c r="CO60" s="164">
        <f t="shared" si="59"/>
        <v>0</v>
      </c>
      <c r="CP60" s="164">
        <f t="shared" si="59"/>
        <v>0</v>
      </c>
      <c r="CQ60" s="164">
        <f t="shared" si="59"/>
        <v>0</v>
      </c>
      <c r="CR60" s="164">
        <f t="shared" si="59"/>
        <v>0</v>
      </c>
      <c r="CS60" s="85" t="s">
        <v>33</v>
      </c>
      <c r="CT60" s="87" t="s">
        <v>33</v>
      </c>
      <c r="CU60" s="163">
        <f t="shared" ref="CU60:DI60" si="60">CU58-CU59</f>
        <v>0</v>
      </c>
      <c r="CV60" s="253">
        <f t="shared" si="60"/>
        <v>0</v>
      </c>
      <c r="CW60" s="164">
        <f t="shared" si="60"/>
        <v>0</v>
      </c>
      <c r="CX60" s="164">
        <f t="shared" si="60"/>
        <v>0</v>
      </c>
      <c r="CY60" s="164">
        <f t="shared" si="60"/>
        <v>0</v>
      </c>
      <c r="CZ60" s="164">
        <f t="shared" si="60"/>
        <v>0</v>
      </c>
      <c r="DA60" s="164">
        <f t="shared" si="60"/>
        <v>0</v>
      </c>
      <c r="DB60" s="164">
        <f t="shared" si="60"/>
        <v>0</v>
      </c>
      <c r="DC60" s="164">
        <f t="shared" si="60"/>
        <v>0</v>
      </c>
      <c r="DD60" s="164">
        <f t="shared" si="60"/>
        <v>0</v>
      </c>
      <c r="DE60" s="164">
        <f t="shared" si="60"/>
        <v>0</v>
      </c>
      <c r="DF60" s="164">
        <f t="shared" si="60"/>
        <v>0</v>
      </c>
      <c r="DG60" s="164">
        <f t="shared" si="60"/>
        <v>0</v>
      </c>
      <c r="DH60" s="164">
        <f t="shared" si="60"/>
        <v>0</v>
      </c>
      <c r="DI60" s="164">
        <f t="shared" si="60"/>
        <v>0</v>
      </c>
      <c r="DJ60" s="85" t="s">
        <v>33</v>
      </c>
      <c r="DK60" s="87" t="s">
        <v>33</v>
      </c>
      <c r="DL60" s="163">
        <f t="shared" ref="DL60:DZ60" si="61">DL58-DL59</f>
        <v>0</v>
      </c>
      <c r="DM60" s="253">
        <f t="shared" si="61"/>
        <v>0</v>
      </c>
      <c r="DN60" s="164">
        <f t="shared" si="61"/>
        <v>0</v>
      </c>
      <c r="DO60" s="164">
        <f t="shared" si="61"/>
        <v>0</v>
      </c>
      <c r="DP60" s="164">
        <f t="shared" si="61"/>
        <v>0</v>
      </c>
      <c r="DQ60" s="164">
        <f t="shared" si="61"/>
        <v>0</v>
      </c>
      <c r="DR60" s="164">
        <f t="shared" si="61"/>
        <v>0</v>
      </c>
      <c r="DS60" s="164">
        <f t="shared" si="61"/>
        <v>0</v>
      </c>
      <c r="DT60" s="164">
        <f t="shared" si="61"/>
        <v>0</v>
      </c>
      <c r="DU60" s="164">
        <f t="shared" si="61"/>
        <v>0</v>
      </c>
      <c r="DV60" s="164">
        <f t="shared" si="61"/>
        <v>0</v>
      </c>
      <c r="DW60" s="164">
        <f t="shared" si="61"/>
        <v>0</v>
      </c>
      <c r="DX60" s="164">
        <f t="shared" si="61"/>
        <v>0</v>
      </c>
      <c r="DY60" s="164">
        <f t="shared" si="61"/>
        <v>0</v>
      </c>
      <c r="DZ60" s="164">
        <f t="shared" si="61"/>
        <v>0</v>
      </c>
      <c r="EA60" s="85" t="s">
        <v>33</v>
      </c>
      <c r="EB60" s="87" t="s">
        <v>33</v>
      </c>
      <c r="EC60" s="163">
        <f t="shared" ref="EC60:EQ60" si="62">EC58-EC59</f>
        <v>0</v>
      </c>
      <c r="ED60" s="253">
        <f t="shared" si="62"/>
        <v>0</v>
      </c>
      <c r="EE60" s="164">
        <f t="shared" si="62"/>
        <v>0</v>
      </c>
      <c r="EF60" s="164">
        <f t="shared" si="62"/>
        <v>0</v>
      </c>
      <c r="EG60" s="164">
        <f t="shared" si="62"/>
        <v>0</v>
      </c>
      <c r="EH60" s="164">
        <f t="shared" si="62"/>
        <v>0</v>
      </c>
      <c r="EI60" s="164">
        <f t="shared" si="62"/>
        <v>0</v>
      </c>
      <c r="EJ60" s="164">
        <f t="shared" si="62"/>
        <v>0</v>
      </c>
      <c r="EK60" s="164">
        <f t="shared" si="62"/>
        <v>0</v>
      </c>
      <c r="EL60" s="164">
        <f t="shared" si="62"/>
        <v>0</v>
      </c>
      <c r="EM60" s="164">
        <f t="shared" si="62"/>
        <v>0</v>
      </c>
      <c r="EN60" s="164">
        <f t="shared" si="62"/>
        <v>0</v>
      </c>
      <c r="EO60" s="164">
        <f t="shared" si="62"/>
        <v>0</v>
      </c>
      <c r="EP60" s="164">
        <f t="shared" si="62"/>
        <v>0</v>
      </c>
      <c r="EQ60" s="164">
        <f t="shared" si="62"/>
        <v>0</v>
      </c>
      <c r="ER60" s="85" t="s">
        <v>33</v>
      </c>
      <c r="ES60" s="87" t="s">
        <v>33</v>
      </c>
      <c r="ET60" s="256" t="s">
        <v>33</v>
      </c>
      <c r="EU60" s="111" t="s">
        <v>59</v>
      </c>
    </row>
    <row r="61" spans="2:151" ht="14.25" customHeight="1" thickBot="1" x14ac:dyDescent="0.25">
      <c r="B61" s="139"/>
      <c r="C61" s="161" t="s">
        <v>60</v>
      </c>
      <c r="D61" s="161"/>
      <c r="E61" s="161"/>
      <c r="F61" s="162"/>
      <c r="G61" s="168">
        <f>SUM(I61:X61,Y61:AA61)</f>
        <v>1234134</v>
      </c>
      <c r="H61" s="169"/>
      <c r="I61" s="257">
        <f t="shared" ref="I61:X61" si="63">SUM(AE61,AV61,BM61,CD61,CU61,DL61,EC61)</f>
        <v>926942</v>
      </c>
      <c r="J61" s="258">
        <f t="shared" si="63"/>
        <v>0</v>
      </c>
      <c r="K61" s="233">
        <f t="shared" si="63"/>
        <v>0</v>
      </c>
      <c r="L61" s="233">
        <f t="shared" si="63"/>
        <v>305522</v>
      </c>
      <c r="M61" s="233">
        <f t="shared" si="63"/>
        <v>0</v>
      </c>
      <c r="N61" s="233">
        <f t="shared" si="63"/>
        <v>0</v>
      </c>
      <c r="O61" s="233">
        <f t="shared" si="63"/>
        <v>508</v>
      </c>
      <c r="P61" s="233">
        <f t="shared" si="63"/>
        <v>50</v>
      </c>
      <c r="Q61" s="233">
        <f t="shared" si="63"/>
        <v>0</v>
      </c>
      <c r="R61" s="233">
        <f t="shared" si="63"/>
        <v>4</v>
      </c>
      <c r="S61" s="233">
        <f t="shared" si="63"/>
        <v>0</v>
      </c>
      <c r="T61" s="233">
        <f t="shared" si="63"/>
        <v>0</v>
      </c>
      <c r="U61" s="233">
        <f t="shared" si="63"/>
        <v>1108</v>
      </c>
      <c r="V61" s="233">
        <f t="shared" si="63"/>
        <v>0</v>
      </c>
      <c r="W61" s="233">
        <f t="shared" si="63"/>
        <v>0</v>
      </c>
      <c r="X61" s="233">
        <f t="shared" si="63"/>
        <v>0</v>
      </c>
      <c r="Y61" s="234"/>
      <c r="Z61" s="234"/>
      <c r="AA61" s="234"/>
      <c r="AB61" s="235"/>
      <c r="AC61" s="234"/>
      <c r="AD61" s="236">
        <v>15231</v>
      </c>
      <c r="AE61" s="259">
        <v>926942</v>
      </c>
      <c r="AF61" s="260"/>
      <c r="AG61" s="238"/>
      <c r="AH61" s="238">
        <v>305522</v>
      </c>
      <c r="AI61" s="238"/>
      <c r="AJ61" s="238"/>
      <c r="AK61" s="238">
        <v>508</v>
      </c>
      <c r="AL61" s="239">
        <v>50</v>
      </c>
      <c r="AM61" s="239"/>
      <c r="AN61" s="239">
        <v>4</v>
      </c>
      <c r="AO61" s="239"/>
      <c r="AP61" s="238"/>
      <c r="AQ61" s="239">
        <v>1108</v>
      </c>
      <c r="AR61" s="239"/>
      <c r="AS61" s="239"/>
      <c r="AT61" s="261"/>
      <c r="AU61" s="240"/>
      <c r="AV61" s="259"/>
      <c r="AW61" s="260"/>
      <c r="AX61" s="238"/>
      <c r="AY61" s="238"/>
      <c r="AZ61" s="238"/>
      <c r="BA61" s="238"/>
      <c r="BB61" s="238"/>
      <c r="BC61" s="239"/>
      <c r="BD61" s="239"/>
      <c r="BE61" s="239"/>
      <c r="BF61" s="239"/>
      <c r="BG61" s="238"/>
      <c r="BH61" s="239"/>
      <c r="BI61" s="239"/>
      <c r="BJ61" s="239"/>
      <c r="BK61" s="238"/>
      <c r="BL61" s="240"/>
      <c r="BM61" s="259"/>
      <c r="BN61" s="260"/>
      <c r="BO61" s="238"/>
      <c r="BP61" s="238"/>
      <c r="BQ61" s="238"/>
      <c r="BR61" s="238"/>
      <c r="BS61" s="238"/>
      <c r="BT61" s="239"/>
      <c r="BU61" s="239"/>
      <c r="BV61" s="239"/>
      <c r="BW61" s="239"/>
      <c r="BX61" s="238"/>
      <c r="BY61" s="239"/>
      <c r="BZ61" s="239"/>
      <c r="CA61" s="239"/>
      <c r="CB61" s="238"/>
      <c r="CC61" s="241"/>
      <c r="CD61" s="259"/>
      <c r="CE61" s="260"/>
      <c r="CF61" s="238"/>
      <c r="CG61" s="238"/>
      <c r="CH61" s="238"/>
      <c r="CI61" s="238"/>
      <c r="CJ61" s="238"/>
      <c r="CK61" s="239"/>
      <c r="CL61" s="239"/>
      <c r="CM61" s="239"/>
      <c r="CN61" s="239"/>
      <c r="CO61" s="238"/>
      <c r="CP61" s="239"/>
      <c r="CQ61" s="239"/>
      <c r="CR61" s="239"/>
      <c r="CS61" s="238"/>
      <c r="CT61" s="240"/>
      <c r="CU61" s="259"/>
      <c r="CV61" s="260"/>
      <c r="CW61" s="238"/>
      <c r="CX61" s="238"/>
      <c r="CY61" s="238"/>
      <c r="CZ61" s="238"/>
      <c r="DA61" s="238"/>
      <c r="DB61" s="239"/>
      <c r="DC61" s="239"/>
      <c r="DD61" s="239"/>
      <c r="DE61" s="239"/>
      <c r="DF61" s="238"/>
      <c r="DG61" s="239"/>
      <c r="DH61" s="239"/>
      <c r="DI61" s="239"/>
      <c r="DJ61" s="238"/>
      <c r="DK61" s="240"/>
      <c r="DL61" s="259"/>
      <c r="DM61" s="260"/>
      <c r="DN61" s="238"/>
      <c r="DO61" s="238"/>
      <c r="DP61" s="238"/>
      <c r="DQ61" s="238"/>
      <c r="DR61" s="238"/>
      <c r="DS61" s="239"/>
      <c r="DT61" s="239"/>
      <c r="DU61" s="239"/>
      <c r="DV61" s="239"/>
      <c r="DW61" s="238"/>
      <c r="DX61" s="239"/>
      <c r="DY61" s="239"/>
      <c r="DZ61" s="239"/>
      <c r="EA61" s="238"/>
      <c r="EB61" s="240"/>
      <c r="EC61" s="259"/>
      <c r="ED61" s="260"/>
      <c r="EE61" s="238"/>
      <c r="EF61" s="238"/>
      <c r="EG61" s="238"/>
      <c r="EH61" s="238"/>
      <c r="EI61" s="238"/>
      <c r="EJ61" s="239"/>
      <c r="EK61" s="239"/>
      <c r="EL61" s="239"/>
      <c r="EM61" s="239"/>
      <c r="EN61" s="238"/>
      <c r="EO61" s="239"/>
      <c r="EP61" s="239"/>
      <c r="EQ61" s="239"/>
      <c r="ER61" s="238"/>
      <c r="ES61" s="240"/>
      <c r="ET61" s="242"/>
      <c r="EU61" s="147" t="s">
        <v>61</v>
      </c>
    </row>
    <row r="62" spans="2:151" ht="14.25" customHeight="1" thickBot="1" x14ac:dyDescent="0.25">
      <c r="B62" s="262"/>
      <c r="C62" s="263" t="s">
        <v>62</v>
      </c>
      <c r="D62" s="264"/>
      <c r="E62" s="264"/>
      <c r="F62" s="265"/>
      <c r="G62" s="266" t="s">
        <v>33</v>
      </c>
      <c r="H62" s="267" t="str">
        <f t="shared" ref="H62" si="64">IFERROR(H58/H61,"-")</f>
        <v>-</v>
      </c>
      <c r="I62" s="268">
        <f t="shared" ref="I62:BT62" si="65">IFERROR(I58/I61,"0")</f>
        <v>-5.2992528119342956E-2</v>
      </c>
      <c r="J62" s="269" t="str">
        <f t="shared" si="65"/>
        <v>0</v>
      </c>
      <c r="K62" s="270" t="str">
        <f t="shared" si="65"/>
        <v>0</v>
      </c>
      <c r="L62" s="270">
        <f t="shared" si="65"/>
        <v>0.38955296181617038</v>
      </c>
      <c r="M62" s="270" t="str">
        <f t="shared" si="65"/>
        <v>0</v>
      </c>
      <c r="N62" s="270" t="str">
        <f t="shared" si="65"/>
        <v>0</v>
      </c>
      <c r="O62" s="270">
        <f t="shared" si="65"/>
        <v>-15.915354330708661</v>
      </c>
      <c r="P62" s="270">
        <f t="shared" si="65"/>
        <v>75.58</v>
      </c>
      <c r="Q62" s="270" t="str">
        <f t="shared" si="65"/>
        <v>0</v>
      </c>
      <c r="R62" s="270">
        <f t="shared" si="65"/>
        <v>480.5</v>
      </c>
      <c r="S62" s="270" t="str">
        <f t="shared" si="65"/>
        <v>0</v>
      </c>
      <c r="T62" s="270" t="str">
        <f t="shared" si="65"/>
        <v>0</v>
      </c>
      <c r="U62" s="270">
        <f t="shared" si="65"/>
        <v>68.4629963898917</v>
      </c>
      <c r="V62" s="270" t="str">
        <f t="shared" si="65"/>
        <v>0</v>
      </c>
      <c r="W62" s="270" t="str">
        <f t="shared" si="65"/>
        <v>0</v>
      </c>
      <c r="X62" s="270" t="str">
        <f t="shared" si="65"/>
        <v>0</v>
      </c>
      <c r="Y62" s="270" t="str">
        <f t="shared" si="65"/>
        <v>0</v>
      </c>
      <c r="Z62" s="270" t="str">
        <f t="shared" si="65"/>
        <v>0</v>
      </c>
      <c r="AA62" s="270" t="str">
        <f t="shared" si="65"/>
        <v>0</v>
      </c>
      <c r="AB62" s="271" t="str">
        <f t="shared" si="65"/>
        <v>0</v>
      </c>
      <c r="AC62" s="270" t="str">
        <f t="shared" si="65"/>
        <v>0</v>
      </c>
      <c r="AD62" s="272">
        <f t="shared" si="65"/>
        <v>-6.3620248178057906E-2</v>
      </c>
      <c r="AE62" s="268">
        <f t="shared" si="65"/>
        <v>-5.2992528119342956E-2</v>
      </c>
      <c r="AF62" s="269" t="str">
        <f t="shared" si="65"/>
        <v>0</v>
      </c>
      <c r="AG62" s="270" t="str">
        <f t="shared" si="65"/>
        <v>0</v>
      </c>
      <c r="AH62" s="270">
        <f t="shared" si="65"/>
        <v>0.38955296181617038</v>
      </c>
      <c r="AI62" s="270" t="str">
        <f t="shared" si="65"/>
        <v>0</v>
      </c>
      <c r="AJ62" s="270" t="str">
        <f t="shared" si="65"/>
        <v>0</v>
      </c>
      <c r="AK62" s="270">
        <f t="shared" si="65"/>
        <v>-15.915354330708661</v>
      </c>
      <c r="AL62" s="270">
        <f t="shared" si="65"/>
        <v>75.58</v>
      </c>
      <c r="AM62" s="270" t="str">
        <f t="shared" si="65"/>
        <v>0</v>
      </c>
      <c r="AN62" s="270">
        <f t="shared" si="65"/>
        <v>480.5</v>
      </c>
      <c r="AO62" s="270" t="str">
        <f t="shared" si="65"/>
        <v>0</v>
      </c>
      <c r="AP62" s="270" t="str">
        <f t="shared" si="65"/>
        <v>0</v>
      </c>
      <c r="AQ62" s="270">
        <f t="shared" si="65"/>
        <v>68.4629963898917</v>
      </c>
      <c r="AR62" s="270" t="str">
        <f t="shared" si="65"/>
        <v>0</v>
      </c>
      <c r="AS62" s="270" t="str">
        <f t="shared" si="65"/>
        <v>0</v>
      </c>
      <c r="AT62" s="270" t="str">
        <f t="shared" si="65"/>
        <v>0</v>
      </c>
      <c r="AU62" s="272" t="str">
        <f t="shared" si="65"/>
        <v>0</v>
      </c>
      <c r="AV62" s="268" t="str">
        <f t="shared" si="65"/>
        <v>0</v>
      </c>
      <c r="AW62" s="269" t="str">
        <f t="shared" si="65"/>
        <v>0</v>
      </c>
      <c r="AX62" s="270" t="str">
        <f t="shared" si="65"/>
        <v>0</v>
      </c>
      <c r="AY62" s="270" t="str">
        <f t="shared" si="65"/>
        <v>0</v>
      </c>
      <c r="AZ62" s="270" t="str">
        <f t="shared" si="65"/>
        <v>0</v>
      </c>
      <c r="BA62" s="270" t="str">
        <f t="shared" si="65"/>
        <v>0</v>
      </c>
      <c r="BB62" s="270" t="str">
        <f t="shared" si="65"/>
        <v>0</v>
      </c>
      <c r="BC62" s="270" t="str">
        <f t="shared" si="65"/>
        <v>0</v>
      </c>
      <c r="BD62" s="270" t="str">
        <f t="shared" si="65"/>
        <v>0</v>
      </c>
      <c r="BE62" s="270" t="str">
        <f t="shared" si="65"/>
        <v>0</v>
      </c>
      <c r="BF62" s="270" t="str">
        <f t="shared" si="65"/>
        <v>0</v>
      </c>
      <c r="BG62" s="270" t="str">
        <f t="shared" si="65"/>
        <v>0</v>
      </c>
      <c r="BH62" s="270" t="str">
        <f t="shared" si="65"/>
        <v>0</v>
      </c>
      <c r="BI62" s="270" t="str">
        <f t="shared" si="65"/>
        <v>0</v>
      </c>
      <c r="BJ62" s="270" t="str">
        <f t="shared" si="65"/>
        <v>0</v>
      </c>
      <c r="BK62" s="270" t="str">
        <f t="shared" si="65"/>
        <v>0</v>
      </c>
      <c r="BL62" s="272" t="str">
        <f t="shared" si="65"/>
        <v>0</v>
      </c>
      <c r="BM62" s="268" t="str">
        <f t="shared" si="65"/>
        <v>0</v>
      </c>
      <c r="BN62" s="269" t="str">
        <f t="shared" si="65"/>
        <v>0</v>
      </c>
      <c r="BO62" s="270" t="str">
        <f t="shared" si="65"/>
        <v>0</v>
      </c>
      <c r="BP62" s="270" t="str">
        <f t="shared" si="65"/>
        <v>0</v>
      </c>
      <c r="BQ62" s="270" t="str">
        <f t="shared" si="65"/>
        <v>0</v>
      </c>
      <c r="BR62" s="270" t="str">
        <f t="shared" si="65"/>
        <v>0</v>
      </c>
      <c r="BS62" s="270" t="str">
        <f t="shared" si="65"/>
        <v>0</v>
      </c>
      <c r="BT62" s="270" t="str">
        <f t="shared" si="65"/>
        <v>0</v>
      </c>
      <c r="BU62" s="270" t="str">
        <f t="shared" ref="BU62:EF62" si="66">IFERROR(BU58/BU61,"0")</f>
        <v>0</v>
      </c>
      <c r="BV62" s="270" t="str">
        <f t="shared" si="66"/>
        <v>0</v>
      </c>
      <c r="BW62" s="270" t="str">
        <f t="shared" si="66"/>
        <v>0</v>
      </c>
      <c r="BX62" s="270" t="str">
        <f t="shared" si="66"/>
        <v>0</v>
      </c>
      <c r="BY62" s="270" t="str">
        <f t="shared" si="66"/>
        <v>0</v>
      </c>
      <c r="BZ62" s="270" t="str">
        <f t="shared" si="66"/>
        <v>0</v>
      </c>
      <c r="CA62" s="270" t="str">
        <f t="shared" si="66"/>
        <v>0</v>
      </c>
      <c r="CB62" s="270" t="str">
        <f t="shared" si="66"/>
        <v>0</v>
      </c>
      <c r="CC62" s="273" t="str">
        <f t="shared" si="66"/>
        <v>0</v>
      </c>
      <c r="CD62" s="268" t="str">
        <f t="shared" si="66"/>
        <v>0</v>
      </c>
      <c r="CE62" s="269" t="str">
        <f t="shared" si="66"/>
        <v>0</v>
      </c>
      <c r="CF62" s="270" t="str">
        <f t="shared" si="66"/>
        <v>0</v>
      </c>
      <c r="CG62" s="270" t="str">
        <f t="shared" si="66"/>
        <v>0</v>
      </c>
      <c r="CH62" s="270" t="str">
        <f t="shared" si="66"/>
        <v>0</v>
      </c>
      <c r="CI62" s="270" t="str">
        <f t="shared" si="66"/>
        <v>0</v>
      </c>
      <c r="CJ62" s="270" t="str">
        <f t="shared" si="66"/>
        <v>0</v>
      </c>
      <c r="CK62" s="270" t="str">
        <f t="shared" si="66"/>
        <v>0</v>
      </c>
      <c r="CL62" s="270" t="str">
        <f t="shared" si="66"/>
        <v>0</v>
      </c>
      <c r="CM62" s="270" t="str">
        <f t="shared" si="66"/>
        <v>0</v>
      </c>
      <c r="CN62" s="270" t="str">
        <f t="shared" si="66"/>
        <v>0</v>
      </c>
      <c r="CO62" s="270" t="str">
        <f t="shared" si="66"/>
        <v>0</v>
      </c>
      <c r="CP62" s="270" t="str">
        <f t="shared" si="66"/>
        <v>0</v>
      </c>
      <c r="CQ62" s="270" t="str">
        <f t="shared" si="66"/>
        <v>0</v>
      </c>
      <c r="CR62" s="270" t="str">
        <f t="shared" si="66"/>
        <v>0</v>
      </c>
      <c r="CS62" s="270" t="str">
        <f t="shared" si="66"/>
        <v>0</v>
      </c>
      <c r="CT62" s="272" t="str">
        <f t="shared" si="66"/>
        <v>0</v>
      </c>
      <c r="CU62" s="268" t="str">
        <f t="shared" si="66"/>
        <v>0</v>
      </c>
      <c r="CV62" s="269" t="str">
        <f t="shared" si="66"/>
        <v>0</v>
      </c>
      <c r="CW62" s="270" t="str">
        <f t="shared" si="66"/>
        <v>0</v>
      </c>
      <c r="CX62" s="270" t="str">
        <f t="shared" si="66"/>
        <v>0</v>
      </c>
      <c r="CY62" s="270" t="str">
        <f t="shared" si="66"/>
        <v>0</v>
      </c>
      <c r="CZ62" s="270" t="str">
        <f t="shared" si="66"/>
        <v>0</v>
      </c>
      <c r="DA62" s="270" t="str">
        <f t="shared" si="66"/>
        <v>0</v>
      </c>
      <c r="DB62" s="270" t="str">
        <f t="shared" si="66"/>
        <v>0</v>
      </c>
      <c r="DC62" s="270" t="str">
        <f t="shared" si="66"/>
        <v>0</v>
      </c>
      <c r="DD62" s="270" t="str">
        <f t="shared" si="66"/>
        <v>0</v>
      </c>
      <c r="DE62" s="270" t="str">
        <f t="shared" si="66"/>
        <v>0</v>
      </c>
      <c r="DF62" s="270" t="str">
        <f t="shared" si="66"/>
        <v>0</v>
      </c>
      <c r="DG62" s="270" t="str">
        <f t="shared" si="66"/>
        <v>0</v>
      </c>
      <c r="DH62" s="270" t="str">
        <f t="shared" si="66"/>
        <v>0</v>
      </c>
      <c r="DI62" s="270" t="str">
        <f t="shared" si="66"/>
        <v>0</v>
      </c>
      <c r="DJ62" s="270" t="str">
        <f t="shared" si="66"/>
        <v>0</v>
      </c>
      <c r="DK62" s="272" t="str">
        <f t="shared" si="66"/>
        <v>0</v>
      </c>
      <c r="DL62" s="268" t="str">
        <f t="shared" si="66"/>
        <v>0</v>
      </c>
      <c r="DM62" s="269" t="str">
        <f t="shared" si="66"/>
        <v>0</v>
      </c>
      <c r="DN62" s="270" t="str">
        <f t="shared" si="66"/>
        <v>0</v>
      </c>
      <c r="DO62" s="270" t="str">
        <f t="shared" si="66"/>
        <v>0</v>
      </c>
      <c r="DP62" s="270" t="str">
        <f t="shared" si="66"/>
        <v>0</v>
      </c>
      <c r="DQ62" s="270" t="str">
        <f t="shared" si="66"/>
        <v>0</v>
      </c>
      <c r="DR62" s="270" t="str">
        <f t="shared" si="66"/>
        <v>0</v>
      </c>
      <c r="DS62" s="270" t="str">
        <f t="shared" si="66"/>
        <v>0</v>
      </c>
      <c r="DT62" s="270" t="str">
        <f t="shared" si="66"/>
        <v>0</v>
      </c>
      <c r="DU62" s="270" t="str">
        <f t="shared" si="66"/>
        <v>0</v>
      </c>
      <c r="DV62" s="270" t="str">
        <f t="shared" si="66"/>
        <v>0</v>
      </c>
      <c r="DW62" s="270" t="str">
        <f t="shared" si="66"/>
        <v>0</v>
      </c>
      <c r="DX62" s="270" t="str">
        <f t="shared" si="66"/>
        <v>0</v>
      </c>
      <c r="DY62" s="270" t="str">
        <f t="shared" si="66"/>
        <v>0</v>
      </c>
      <c r="DZ62" s="270" t="str">
        <f t="shared" si="66"/>
        <v>0</v>
      </c>
      <c r="EA62" s="270" t="str">
        <f t="shared" si="66"/>
        <v>0</v>
      </c>
      <c r="EB62" s="272" t="str">
        <f t="shared" si="66"/>
        <v>0</v>
      </c>
      <c r="EC62" s="268" t="str">
        <f t="shared" si="66"/>
        <v>0</v>
      </c>
      <c r="ED62" s="269" t="str">
        <f t="shared" si="66"/>
        <v>0</v>
      </c>
      <c r="EE62" s="270" t="str">
        <f t="shared" si="66"/>
        <v>0</v>
      </c>
      <c r="EF62" s="270" t="str">
        <f t="shared" si="66"/>
        <v>0</v>
      </c>
      <c r="EG62" s="270" t="str">
        <f t="shared" ref="EG62:FN62" si="67">IFERROR(EG58/EG61,"0")</f>
        <v>0</v>
      </c>
      <c r="EH62" s="270" t="str">
        <f t="shared" si="67"/>
        <v>0</v>
      </c>
      <c r="EI62" s="270" t="str">
        <f t="shared" si="67"/>
        <v>0</v>
      </c>
      <c r="EJ62" s="270" t="str">
        <f t="shared" si="67"/>
        <v>0</v>
      </c>
      <c r="EK62" s="270" t="str">
        <f t="shared" si="67"/>
        <v>0</v>
      </c>
      <c r="EL62" s="270" t="str">
        <f t="shared" si="67"/>
        <v>0</v>
      </c>
      <c r="EM62" s="270" t="str">
        <f t="shared" si="67"/>
        <v>0</v>
      </c>
      <c r="EN62" s="270" t="str">
        <f t="shared" si="67"/>
        <v>0</v>
      </c>
      <c r="EO62" s="270" t="str">
        <f t="shared" si="67"/>
        <v>0</v>
      </c>
      <c r="EP62" s="270" t="str">
        <f t="shared" si="67"/>
        <v>0</v>
      </c>
      <c r="EQ62" s="270" t="str">
        <f t="shared" si="67"/>
        <v>0</v>
      </c>
      <c r="ER62" s="270" t="str">
        <f t="shared" si="67"/>
        <v>0</v>
      </c>
      <c r="ES62" s="272" t="str">
        <f t="shared" si="67"/>
        <v>0</v>
      </c>
      <c r="ET62" s="274" t="s">
        <v>33</v>
      </c>
      <c r="EU62" s="275" t="s">
        <v>63</v>
      </c>
    </row>
    <row r="64" spans="2:151" x14ac:dyDescent="0.2">
      <c r="B64" s="276" t="s">
        <v>76</v>
      </c>
      <c r="C64" s="276"/>
      <c r="D64" s="276"/>
      <c r="E64" s="276"/>
      <c r="F64" s="276"/>
      <c r="G64" s="276"/>
      <c r="H64" s="276"/>
      <c r="I64" s="276"/>
      <c r="J64" s="276"/>
      <c r="K64" s="276"/>
      <c r="L64" s="276"/>
      <c r="M64" s="277"/>
      <c r="N64" s="277"/>
      <c r="AI64" s="277"/>
      <c r="AJ64" s="277"/>
      <c r="AZ64" s="277"/>
      <c r="BA64" s="277"/>
      <c r="BQ64" s="277"/>
      <c r="BR64" s="277"/>
      <c r="CH64" s="277"/>
      <c r="CI64" s="277"/>
      <c r="CY64" s="277"/>
      <c r="CZ64" s="277"/>
      <c r="DP64" s="277"/>
      <c r="DQ64" s="277"/>
      <c r="EC64" s="278"/>
      <c r="ED64" s="278"/>
      <c r="EG64" s="277"/>
      <c r="EH64" s="277"/>
    </row>
    <row r="65" spans="2:151" x14ac:dyDescent="0.2">
      <c r="B65" s="279" t="s">
        <v>77</v>
      </c>
      <c r="C65" s="279"/>
      <c r="D65" s="279"/>
      <c r="E65" s="279"/>
      <c r="F65" s="279"/>
      <c r="G65" s="279"/>
      <c r="H65" s="279"/>
      <c r="I65" s="279"/>
      <c r="J65" s="279"/>
      <c r="K65" s="279"/>
      <c r="L65" s="279"/>
      <c r="AE65" s="278"/>
      <c r="AF65" s="278"/>
      <c r="BN65" s="278"/>
      <c r="BO65" s="278"/>
      <c r="CD65" s="278"/>
      <c r="CE65" s="278"/>
      <c r="CF65" s="278"/>
      <c r="CU65" s="278"/>
      <c r="CV65" s="278"/>
      <c r="CW65" s="278"/>
      <c r="DL65" s="278"/>
      <c r="DM65" s="278"/>
      <c r="DN65" s="278"/>
      <c r="ED65" s="278"/>
      <c r="EE65" s="278"/>
      <c r="ET65" s="191"/>
      <c r="EU65" s="191"/>
    </row>
    <row r="66" spans="2:151" ht="54" customHeight="1" x14ac:dyDescent="0.2">
      <c r="B66" s="280" t="s">
        <v>78</v>
      </c>
      <c r="C66" s="280"/>
      <c r="D66" s="280"/>
      <c r="E66" s="280"/>
      <c r="F66" s="280"/>
      <c r="G66" s="280"/>
      <c r="H66" s="280"/>
      <c r="I66" s="280"/>
      <c r="J66" s="280"/>
      <c r="K66" s="280"/>
      <c r="L66" s="280"/>
      <c r="M66" s="281"/>
      <c r="N66" s="281"/>
      <c r="O66" s="281"/>
      <c r="P66" s="281"/>
      <c r="Q66" s="281"/>
      <c r="R66" s="281"/>
      <c r="S66" s="281"/>
      <c r="T66" s="281"/>
      <c r="U66" s="281"/>
      <c r="V66" s="281"/>
      <c r="W66" s="281"/>
      <c r="X66" s="281"/>
      <c r="Y66" s="281"/>
      <c r="Z66" s="281"/>
      <c r="AA66" s="281"/>
      <c r="AB66" s="281"/>
      <c r="AC66" s="281"/>
      <c r="AD66" s="281"/>
      <c r="AE66" s="281"/>
      <c r="AF66" s="282"/>
      <c r="AG66" s="282"/>
      <c r="AH66" s="281"/>
      <c r="AI66" s="281"/>
      <c r="AJ66" s="281"/>
      <c r="AK66" s="281"/>
      <c r="AL66" s="281"/>
      <c r="AM66" s="281"/>
      <c r="AN66" s="281"/>
      <c r="AO66" s="281"/>
      <c r="AP66" s="281"/>
      <c r="AQ66" s="281"/>
      <c r="AR66" s="281"/>
      <c r="AS66" s="281"/>
      <c r="AT66" s="281"/>
      <c r="AU66" s="281"/>
      <c r="AV66" s="282"/>
      <c r="AW66" s="282"/>
      <c r="AX66" s="282"/>
      <c r="AY66" s="281"/>
      <c r="AZ66" s="281"/>
      <c r="BA66" s="281"/>
      <c r="BB66" s="281"/>
      <c r="BC66" s="281"/>
      <c r="BD66" s="281"/>
      <c r="BE66" s="281"/>
      <c r="BF66" s="281"/>
      <c r="BG66" s="281"/>
      <c r="BH66" s="281"/>
      <c r="BI66" s="281"/>
      <c r="BJ66" s="281"/>
      <c r="BK66" s="281"/>
      <c r="BL66" s="281"/>
      <c r="BM66" s="282"/>
      <c r="BN66" s="282"/>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row>
    <row r="67" spans="2:151" ht="39" customHeight="1" x14ac:dyDescent="0.2">
      <c r="B67" s="280" t="s">
        <v>79</v>
      </c>
      <c r="C67" s="280"/>
      <c r="D67" s="280"/>
      <c r="E67" s="280"/>
      <c r="F67" s="280"/>
      <c r="G67" s="280"/>
      <c r="H67" s="280"/>
      <c r="I67" s="280"/>
      <c r="J67" s="280"/>
      <c r="K67" s="280"/>
      <c r="L67" s="280"/>
      <c r="M67" s="283"/>
      <c r="N67" s="283"/>
      <c r="O67" s="283"/>
      <c r="P67" s="283"/>
      <c r="Q67" s="283"/>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4"/>
      <c r="AW67" s="284"/>
      <c r="AX67" s="283"/>
      <c r="AY67" s="283"/>
      <c r="AZ67" s="283"/>
      <c r="BA67" s="285"/>
      <c r="BB67" s="285"/>
      <c r="BC67" s="285"/>
      <c r="BD67" s="285"/>
      <c r="BE67" s="285"/>
      <c r="BF67" s="285"/>
      <c r="BG67" s="285"/>
      <c r="BH67" s="285"/>
      <c r="BI67" s="285"/>
      <c r="BJ67" s="285"/>
      <c r="BK67" s="285"/>
      <c r="BL67" s="283"/>
      <c r="BM67" s="283"/>
      <c r="BN67" s="283"/>
      <c r="BO67" s="283"/>
      <c r="BP67" s="283"/>
      <c r="BQ67" s="283"/>
      <c r="BR67" s="285"/>
      <c r="BS67" s="285"/>
      <c r="BT67" s="285"/>
      <c r="BU67" s="285"/>
      <c r="BV67" s="285"/>
      <c r="BW67" s="285"/>
      <c r="BX67" s="285"/>
      <c r="BY67" s="285"/>
      <c r="BZ67" s="285"/>
      <c r="CA67" s="285"/>
      <c r="CB67" s="285"/>
      <c r="CC67" s="283"/>
      <c r="CD67" s="283"/>
      <c r="CE67" s="283"/>
      <c r="CF67" s="283"/>
      <c r="CG67" s="283"/>
      <c r="CH67" s="283"/>
      <c r="CI67" s="285"/>
      <c r="CJ67" s="285"/>
      <c r="CK67" s="285"/>
      <c r="CL67" s="285"/>
      <c r="CM67" s="285"/>
      <c r="CN67" s="285"/>
      <c r="CO67" s="285"/>
      <c r="CP67" s="285"/>
      <c r="CQ67" s="285"/>
      <c r="CR67" s="285"/>
      <c r="CS67" s="285"/>
      <c r="CT67" s="283"/>
      <c r="CU67" s="283"/>
      <c r="CV67" s="283"/>
      <c r="CW67" s="283"/>
      <c r="CX67" s="283"/>
      <c r="CY67" s="283"/>
      <c r="CZ67" s="285"/>
      <c r="DA67" s="285"/>
      <c r="DB67" s="285"/>
      <c r="DC67" s="285"/>
      <c r="DD67" s="285"/>
      <c r="DE67" s="285"/>
      <c r="DF67" s="285"/>
      <c r="DG67" s="285"/>
      <c r="DH67" s="285"/>
      <c r="DI67" s="285"/>
      <c r="DJ67" s="285"/>
      <c r="DK67" s="283"/>
      <c r="DL67" s="283"/>
      <c r="DM67" s="283"/>
      <c r="DN67" s="283"/>
      <c r="DO67" s="283"/>
      <c r="DP67" s="283"/>
      <c r="DQ67" s="285"/>
      <c r="DR67" s="285"/>
      <c r="DS67" s="285"/>
      <c r="DT67" s="285"/>
      <c r="DU67" s="285"/>
      <c r="DV67" s="285"/>
      <c r="DW67" s="285"/>
      <c r="DX67" s="285"/>
      <c r="DY67" s="285"/>
      <c r="DZ67" s="285"/>
      <c r="EA67" s="285"/>
      <c r="EB67" s="283"/>
      <c r="EC67" s="283"/>
      <c r="ED67" s="283"/>
      <c r="EE67" s="283"/>
      <c r="EF67" s="283"/>
      <c r="EG67" s="283"/>
      <c r="EH67" s="285"/>
      <c r="EI67" s="285"/>
      <c r="EJ67" s="285"/>
      <c r="EK67" s="285"/>
      <c r="EL67" s="285"/>
      <c r="EM67" s="285"/>
      <c r="EN67" s="285"/>
      <c r="EO67" s="285"/>
      <c r="EP67" s="285"/>
      <c r="EQ67" s="285"/>
      <c r="ER67" s="285"/>
      <c r="ES67" s="283"/>
      <c r="ET67" s="285"/>
      <c r="EU67" s="285"/>
    </row>
    <row r="68" spans="2:151" ht="104.25" customHeight="1" x14ac:dyDescent="0.2">
      <c r="B68" s="286" t="s">
        <v>80</v>
      </c>
      <c r="C68" s="286"/>
      <c r="D68" s="286"/>
      <c r="E68" s="286"/>
      <c r="F68" s="286"/>
      <c r="G68" s="286"/>
      <c r="H68" s="286"/>
      <c r="I68" s="286"/>
      <c r="J68" s="286"/>
      <c r="K68" s="286"/>
      <c r="L68" s="286"/>
    </row>
    <row r="69" spans="2:151" ht="39.75" customHeight="1" x14ac:dyDescent="0.2">
      <c r="B69" s="286" t="s">
        <v>81</v>
      </c>
      <c r="C69" s="286"/>
      <c r="D69" s="286"/>
      <c r="E69" s="286"/>
      <c r="F69" s="286"/>
      <c r="G69" s="286"/>
      <c r="H69" s="286"/>
      <c r="I69" s="286"/>
      <c r="J69" s="286"/>
      <c r="K69" s="286"/>
      <c r="L69" s="286"/>
    </row>
    <row r="70" spans="2:151" ht="57" customHeight="1" x14ac:dyDescent="0.2">
      <c r="B70" s="286" t="s">
        <v>82</v>
      </c>
      <c r="C70" s="286"/>
      <c r="D70" s="286"/>
      <c r="E70" s="286"/>
      <c r="F70" s="286"/>
      <c r="G70" s="286"/>
      <c r="H70" s="286"/>
      <c r="I70" s="286"/>
      <c r="J70" s="286"/>
      <c r="K70" s="286"/>
      <c r="L70" s="286"/>
      <c r="M70" s="287"/>
      <c r="N70" s="287"/>
      <c r="O70" s="287"/>
      <c r="P70" s="287"/>
      <c r="Q70" s="287"/>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row>
    <row r="71" spans="2:151" ht="52.5" customHeight="1" x14ac:dyDescent="0.2">
      <c r="B71" s="286" t="s">
        <v>83</v>
      </c>
      <c r="C71" s="286"/>
      <c r="D71" s="286"/>
      <c r="E71" s="286"/>
      <c r="F71" s="286"/>
      <c r="G71" s="286"/>
      <c r="H71" s="286"/>
      <c r="I71" s="286"/>
      <c r="J71" s="286"/>
      <c r="K71" s="286"/>
      <c r="L71" s="286"/>
      <c r="M71" s="288"/>
      <c r="N71" s="288"/>
      <c r="O71" s="288"/>
    </row>
    <row r="72" spans="2:151" ht="87.75" customHeight="1" x14ac:dyDescent="0.2">
      <c r="B72" s="286" t="s">
        <v>84</v>
      </c>
      <c r="C72" s="286"/>
      <c r="D72" s="286"/>
      <c r="E72" s="286"/>
      <c r="F72" s="286"/>
      <c r="G72" s="286"/>
      <c r="H72" s="286"/>
      <c r="I72" s="286"/>
      <c r="J72" s="286"/>
      <c r="K72" s="286"/>
      <c r="L72" s="286"/>
    </row>
    <row r="73" spans="2:151" ht="31.5" customHeight="1" x14ac:dyDescent="0.2">
      <c r="B73" s="286" t="s">
        <v>85</v>
      </c>
      <c r="C73" s="286"/>
      <c r="D73" s="286"/>
      <c r="E73" s="286"/>
      <c r="F73" s="286"/>
      <c r="G73" s="286"/>
      <c r="H73" s="286"/>
      <c r="I73" s="286"/>
      <c r="J73" s="286"/>
      <c r="K73" s="286"/>
      <c r="L73" s="286"/>
      <c r="M73" s="277"/>
      <c r="N73" s="277"/>
      <c r="AI73" s="277"/>
      <c r="AJ73" s="277"/>
      <c r="AZ73" s="277"/>
      <c r="BA73" s="277"/>
      <c r="BQ73" s="277"/>
      <c r="BR73" s="277"/>
      <c r="CH73" s="277"/>
      <c r="CI73" s="277"/>
      <c r="CY73" s="277"/>
      <c r="CZ73" s="277"/>
      <c r="DP73" s="277"/>
      <c r="DQ73" s="277"/>
      <c r="EG73" s="277"/>
      <c r="EH73" s="277"/>
    </row>
    <row r="74" spans="2:151" ht="45.75" customHeight="1" x14ac:dyDescent="0.2">
      <c r="B74" s="286" t="s">
        <v>86</v>
      </c>
      <c r="C74" s="286"/>
      <c r="D74" s="286"/>
      <c r="E74" s="286"/>
      <c r="F74" s="286"/>
      <c r="G74" s="286"/>
      <c r="H74" s="286"/>
      <c r="I74" s="286"/>
      <c r="J74" s="286"/>
      <c r="K74" s="286"/>
      <c r="L74" s="286"/>
      <c r="M74" s="277"/>
      <c r="N74" s="277"/>
      <c r="AI74" s="277"/>
      <c r="AJ74" s="277"/>
      <c r="AZ74" s="277"/>
      <c r="BA74" s="277"/>
      <c r="BQ74" s="277"/>
      <c r="BR74" s="277"/>
      <c r="CH74" s="277"/>
      <c r="CI74" s="277"/>
      <c r="CY74" s="277"/>
      <c r="CZ74" s="277"/>
      <c r="DP74" s="277"/>
      <c r="DQ74" s="277"/>
      <c r="EG74" s="277"/>
      <c r="EH74" s="277"/>
    </row>
    <row r="75" spans="2:151" x14ac:dyDescent="0.2">
      <c r="B75" s="288"/>
      <c r="C75" s="288"/>
      <c r="D75" s="288"/>
      <c r="E75" s="288"/>
      <c r="F75" s="288"/>
      <c r="G75" s="288"/>
      <c r="H75" s="288"/>
      <c r="I75" s="288"/>
      <c r="J75" s="288"/>
      <c r="K75" s="288"/>
      <c r="L75" s="288"/>
      <c r="M75" s="277"/>
      <c r="N75" s="277"/>
      <c r="AI75" s="277"/>
      <c r="AJ75" s="277"/>
      <c r="AZ75" s="277"/>
      <c r="BA75" s="277"/>
      <c r="BQ75" s="277"/>
      <c r="BR75" s="277"/>
      <c r="CH75" s="277"/>
      <c r="CI75" s="277"/>
      <c r="CY75" s="277"/>
      <c r="CZ75" s="277"/>
      <c r="DP75" s="277"/>
      <c r="DQ75" s="277"/>
      <c r="EG75" s="277"/>
      <c r="EH75" s="277"/>
    </row>
    <row r="76" spans="2:151" x14ac:dyDescent="0.2">
      <c r="B76" s="288"/>
      <c r="C76" s="288"/>
      <c r="D76" s="288"/>
      <c r="E76" s="288"/>
      <c r="F76" s="288"/>
      <c r="G76" s="288"/>
      <c r="H76" s="288"/>
      <c r="I76" s="288"/>
      <c r="J76" s="288"/>
      <c r="K76" s="288"/>
      <c r="L76" s="288"/>
      <c r="M76" s="277"/>
      <c r="N76" s="277"/>
      <c r="AI76" s="277"/>
      <c r="AJ76" s="277"/>
      <c r="AZ76" s="277"/>
      <c r="BA76" s="277"/>
      <c r="BQ76" s="277"/>
      <c r="BR76" s="277"/>
      <c r="CH76" s="277"/>
      <c r="CI76" s="277"/>
      <c r="CY76" s="277"/>
      <c r="CZ76" s="277"/>
      <c r="DP76" s="277"/>
      <c r="DQ76" s="277"/>
      <c r="EG76" s="277"/>
      <c r="EH76" s="277"/>
    </row>
    <row r="77" spans="2:151" x14ac:dyDescent="0.2">
      <c r="B77" s="288"/>
      <c r="C77" s="288"/>
      <c r="D77" s="288"/>
      <c r="E77" s="288"/>
      <c r="F77" s="288"/>
      <c r="G77" s="288"/>
      <c r="H77" s="288"/>
      <c r="I77" s="288"/>
      <c r="J77" s="288"/>
      <c r="K77" s="288"/>
      <c r="L77" s="288"/>
      <c r="M77" s="277"/>
      <c r="N77" s="277"/>
      <c r="AI77" s="277"/>
      <c r="AJ77" s="277"/>
      <c r="AZ77" s="277"/>
      <c r="BA77" s="277"/>
      <c r="BQ77" s="277"/>
      <c r="BR77" s="277"/>
      <c r="CH77" s="277"/>
      <c r="CI77" s="277"/>
      <c r="CY77" s="277"/>
      <c r="CZ77" s="277"/>
      <c r="DP77" s="277"/>
      <c r="DQ77" s="277"/>
      <c r="EG77" s="277"/>
      <c r="EH77" s="277"/>
    </row>
    <row r="78" spans="2:151" x14ac:dyDescent="0.2">
      <c r="B78" s="288"/>
      <c r="C78" s="288"/>
      <c r="D78" s="288"/>
      <c r="E78" s="288"/>
      <c r="F78" s="288"/>
      <c r="G78" s="288"/>
      <c r="H78" s="288"/>
      <c r="I78" s="288"/>
      <c r="J78" s="288"/>
      <c r="K78" s="288"/>
      <c r="L78" s="288"/>
      <c r="M78" s="277"/>
      <c r="N78" s="277"/>
      <c r="AI78" s="277"/>
      <c r="AJ78" s="277"/>
      <c r="AZ78" s="277"/>
      <c r="BA78" s="277"/>
      <c r="BQ78" s="277"/>
      <c r="BR78" s="277"/>
      <c r="CH78" s="277"/>
      <c r="CI78" s="277"/>
      <c r="CY78" s="277"/>
      <c r="CZ78" s="277"/>
      <c r="DP78" s="277"/>
      <c r="DQ78" s="277"/>
      <c r="EG78" s="277"/>
      <c r="EH78" s="277"/>
    </row>
    <row r="79" spans="2:151" x14ac:dyDescent="0.2">
      <c r="B79" s="289"/>
      <c r="C79" s="289"/>
      <c r="D79" s="289"/>
      <c r="E79" s="289"/>
      <c r="F79" s="289"/>
      <c r="G79" s="289"/>
      <c r="H79" s="289"/>
      <c r="I79" s="289"/>
      <c r="J79" s="289"/>
      <c r="K79" s="289"/>
      <c r="L79" s="289"/>
      <c r="M79" s="290"/>
      <c r="N79" s="290"/>
      <c r="AI79" s="290"/>
      <c r="AJ79" s="290"/>
      <c r="AZ79" s="290"/>
      <c r="BA79" s="290"/>
      <c r="BQ79" s="290"/>
      <c r="BR79" s="290"/>
      <c r="CH79" s="290"/>
      <c r="CI79" s="290"/>
      <c r="CY79" s="290"/>
      <c r="CZ79" s="290"/>
      <c r="DP79" s="290"/>
      <c r="DQ79" s="290"/>
      <c r="EG79" s="290"/>
      <c r="EH79" s="290"/>
    </row>
    <row r="80" spans="2:151" x14ac:dyDescent="0.2">
      <c r="B80" s="289"/>
      <c r="C80" s="289"/>
      <c r="D80" s="289"/>
      <c r="E80" s="289"/>
      <c r="F80" s="289"/>
      <c r="G80" s="289"/>
      <c r="H80" s="289"/>
      <c r="I80" s="289"/>
      <c r="J80" s="289"/>
      <c r="K80" s="289"/>
      <c r="L80" s="289"/>
      <c r="M80" s="290"/>
      <c r="N80" s="290"/>
      <c r="AI80" s="290"/>
      <c r="AJ80" s="290"/>
      <c r="AZ80" s="290"/>
      <c r="BA80" s="290"/>
      <c r="BQ80" s="290"/>
      <c r="BR80" s="290"/>
      <c r="CH80" s="290"/>
      <c r="CI80" s="290"/>
      <c r="CY80" s="290"/>
      <c r="CZ80" s="290"/>
      <c r="DP80" s="290"/>
      <c r="DQ80" s="290"/>
      <c r="EG80" s="290"/>
      <c r="EH80" s="290"/>
    </row>
    <row r="81" spans="2:138" x14ac:dyDescent="0.2">
      <c r="B81" s="289"/>
      <c r="C81" s="289"/>
      <c r="D81" s="289"/>
      <c r="E81" s="289"/>
      <c r="F81" s="289"/>
      <c r="G81" s="289"/>
      <c r="H81" s="289"/>
      <c r="I81" s="289"/>
      <c r="J81" s="289"/>
      <c r="K81" s="289"/>
      <c r="L81" s="289"/>
      <c r="M81" s="290"/>
      <c r="N81" s="290"/>
      <c r="AI81" s="290"/>
      <c r="AJ81" s="290"/>
      <c r="AZ81" s="290"/>
      <c r="BA81" s="290"/>
      <c r="BQ81" s="290"/>
      <c r="BR81" s="290"/>
      <c r="CH81" s="290"/>
      <c r="CI81" s="290"/>
      <c r="CY81" s="290"/>
      <c r="CZ81" s="290"/>
      <c r="DP81" s="290"/>
      <c r="DQ81" s="290"/>
      <c r="EG81" s="290"/>
      <c r="EH81" s="290"/>
    </row>
    <row r="82" spans="2:138" x14ac:dyDescent="0.2">
      <c r="B82" s="289"/>
      <c r="C82" s="289"/>
      <c r="D82" s="289"/>
      <c r="E82" s="289"/>
      <c r="F82" s="289"/>
      <c r="G82" s="289"/>
      <c r="H82" s="289"/>
      <c r="I82" s="289"/>
      <c r="J82" s="289"/>
      <c r="K82" s="289"/>
      <c r="L82" s="289"/>
      <c r="M82" s="290"/>
      <c r="N82" s="290"/>
      <c r="AI82" s="290"/>
      <c r="AJ82" s="290"/>
      <c r="AZ82" s="290"/>
      <c r="BA82" s="290"/>
      <c r="BQ82" s="290"/>
      <c r="BR82" s="290"/>
      <c r="CH82" s="290"/>
      <c r="CI82" s="290"/>
      <c r="CY82" s="290"/>
      <c r="CZ82" s="290"/>
      <c r="DP82" s="290"/>
      <c r="DQ82" s="290"/>
      <c r="EG82" s="290"/>
      <c r="EH82" s="290"/>
    </row>
    <row r="83" spans="2:138" x14ac:dyDescent="0.2">
      <c r="B83" s="289"/>
      <c r="C83" s="289"/>
      <c r="D83" s="289"/>
      <c r="E83" s="289"/>
      <c r="F83" s="289"/>
      <c r="G83" s="289"/>
      <c r="H83" s="289"/>
      <c r="I83" s="289"/>
      <c r="J83" s="289"/>
      <c r="K83" s="289"/>
      <c r="L83" s="289"/>
      <c r="M83" s="290"/>
      <c r="N83" s="290"/>
      <c r="AI83" s="290"/>
      <c r="AJ83" s="290"/>
      <c r="AZ83" s="290"/>
      <c r="BA83" s="290"/>
      <c r="BQ83" s="290"/>
      <c r="BR83" s="290"/>
      <c r="CH83" s="290"/>
      <c r="CI83" s="290"/>
      <c r="CY83" s="290"/>
      <c r="CZ83" s="290"/>
      <c r="DP83" s="290"/>
      <c r="DQ83" s="290"/>
      <c r="EG83" s="290"/>
      <c r="EH83" s="290"/>
    </row>
    <row r="84" spans="2:138" x14ac:dyDescent="0.2">
      <c r="B84" s="289"/>
      <c r="C84" s="289"/>
      <c r="D84" s="289"/>
      <c r="E84" s="289"/>
      <c r="F84" s="289"/>
      <c r="G84" s="289"/>
      <c r="H84" s="289"/>
      <c r="I84" s="289"/>
      <c r="J84" s="289"/>
      <c r="K84" s="289"/>
      <c r="L84" s="289"/>
      <c r="M84" s="290"/>
      <c r="N84" s="290"/>
      <c r="AI84" s="290"/>
      <c r="AJ84" s="290"/>
      <c r="AZ84" s="290"/>
      <c r="BA84" s="290"/>
      <c r="BQ84" s="290"/>
      <c r="BR84" s="290"/>
      <c r="CH84" s="290"/>
      <c r="CI84" s="290"/>
      <c r="CY84" s="290"/>
      <c r="CZ84" s="290"/>
      <c r="DP84" s="290"/>
      <c r="DQ84" s="290"/>
      <c r="EG84" s="290"/>
      <c r="EH84" s="290"/>
    </row>
    <row r="86" spans="2:138" x14ac:dyDescent="0.2">
      <c r="B86" s="288"/>
      <c r="C86" s="288"/>
      <c r="D86" s="288"/>
      <c r="E86" s="288"/>
      <c r="F86" s="288"/>
      <c r="G86" s="288"/>
      <c r="H86" s="288"/>
      <c r="I86" s="288"/>
      <c r="J86" s="288"/>
      <c r="K86" s="288"/>
      <c r="L86" s="288"/>
      <c r="M86" s="277"/>
      <c r="N86" s="277"/>
      <c r="AI86" s="277"/>
      <c r="AJ86" s="277"/>
      <c r="AZ86" s="277"/>
      <c r="BA86" s="277"/>
      <c r="BQ86" s="277"/>
      <c r="BR86" s="277"/>
      <c r="CH86" s="277"/>
      <c r="CI86" s="277"/>
      <c r="CY86" s="277"/>
      <c r="CZ86" s="277"/>
      <c r="DP86" s="277"/>
      <c r="DQ86" s="277"/>
      <c r="EG86" s="277"/>
      <c r="EH86" s="277"/>
    </row>
    <row r="87" spans="2:138" x14ac:dyDescent="0.2">
      <c r="B87" s="288"/>
      <c r="C87" s="288"/>
      <c r="D87" s="288"/>
      <c r="E87" s="288"/>
      <c r="F87" s="288"/>
      <c r="G87" s="288"/>
      <c r="H87" s="288"/>
      <c r="I87" s="288"/>
      <c r="J87" s="288"/>
      <c r="K87" s="288"/>
      <c r="L87" s="288"/>
      <c r="M87" s="277"/>
      <c r="N87" s="277"/>
      <c r="AI87" s="277"/>
      <c r="AJ87" s="277"/>
      <c r="AZ87" s="277"/>
      <c r="BA87" s="277"/>
      <c r="BQ87" s="277"/>
      <c r="BR87" s="277"/>
      <c r="CH87" s="277"/>
      <c r="CI87" s="277"/>
      <c r="CY87" s="277"/>
      <c r="CZ87" s="277"/>
      <c r="DP87" s="277"/>
      <c r="DQ87" s="277"/>
      <c r="EG87" s="277"/>
      <c r="EH87" s="277"/>
    </row>
    <row r="88" spans="2:138" x14ac:dyDescent="0.2">
      <c r="B88" s="288"/>
      <c r="C88" s="288"/>
      <c r="D88" s="288"/>
      <c r="E88" s="288"/>
      <c r="F88" s="288"/>
      <c r="G88" s="288"/>
      <c r="H88" s="288"/>
      <c r="I88" s="288"/>
      <c r="J88" s="288"/>
      <c r="K88" s="288"/>
      <c r="L88" s="288"/>
      <c r="M88" s="277"/>
      <c r="N88" s="277"/>
      <c r="AI88" s="277"/>
      <c r="AJ88" s="277"/>
      <c r="AZ88" s="277"/>
      <c r="BA88" s="277"/>
      <c r="BQ88" s="277"/>
      <c r="BR88" s="277"/>
      <c r="CH88" s="277"/>
      <c r="CI88" s="277"/>
      <c r="CY88" s="277"/>
      <c r="CZ88" s="277"/>
      <c r="DP88" s="277"/>
      <c r="DQ88" s="277"/>
      <c r="EG88" s="277"/>
      <c r="EH88" s="277"/>
    </row>
  </sheetData>
  <mergeCells count="520">
    <mergeCell ref="B71:L71"/>
    <mergeCell ref="B72:L72"/>
    <mergeCell ref="B73:L73"/>
    <mergeCell ref="B74:L74"/>
    <mergeCell ref="DQ67:EA67"/>
    <mergeCell ref="EH67:ER67"/>
    <mergeCell ref="ET67:EU67"/>
    <mergeCell ref="B68:L68"/>
    <mergeCell ref="B69:L69"/>
    <mergeCell ref="B70:L70"/>
    <mergeCell ref="B66:L66"/>
    <mergeCell ref="B67:L67"/>
    <mergeCell ref="BA67:BK67"/>
    <mergeCell ref="BR67:CB67"/>
    <mergeCell ref="CI67:CS67"/>
    <mergeCell ref="CZ67:DJ67"/>
    <mergeCell ref="C61:F61"/>
    <mergeCell ref="G61:H61"/>
    <mergeCell ref="C62:F62"/>
    <mergeCell ref="G62:H62"/>
    <mergeCell ref="B64:L64"/>
    <mergeCell ref="B65:L65"/>
    <mergeCell ref="C58:F58"/>
    <mergeCell ref="G58:H58"/>
    <mergeCell ref="C59:F59"/>
    <mergeCell ref="G59:H59"/>
    <mergeCell ref="C60:F60"/>
    <mergeCell ref="G60:H60"/>
    <mergeCell ref="C55:F55"/>
    <mergeCell ref="G55:H55"/>
    <mergeCell ref="C56:F56"/>
    <mergeCell ref="G56:H56"/>
    <mergeCell ref="C57:F57"/>
    <mergeCell ref="G57:H57"/>
    <mergeCell ref="C51:F51"/>
    <mergeCell ref="G51:H51"/>
    <mergeCell ref="C52:F52"/>
    <mergeCell ref="G52:H52"/>
    <mergeCell ref="G53:H53"/>
    <mergeCell ref="C54:F54"/>
    <mergeCell ref="G54:H54"/>
    <mergeCell ref="G47:H47"/>
    <mergeCell ref="C48:F48"/>
    <mergeCell ref="G48:H48"/>
    <mergeCell ref="C49:F49"/>
    <mergeCell ref="G49:H49"/>
    <mergeCell ref="C50:F50"/>
    <mergeCell ref="G50:H50"/>
    <mergeCell ref="EP42:EP45"/>
    <mergeCell ref="EQ42:EQ45"/>
    <mergeCell ref="ER42:ER45"/>
    <mergeCell ref="ES42:ES45"/>
    <mergeCell ref="C46:F46"/>
    <mergeCell ref="G46:H46"/>
    <mergeCell ref="EJ42:EJ45"/>
    <mergeCell ref="EK42:EK45"/>
    <mergeCell ref="EL42:EL45"/>
    <mergeCell ref="EM42:EM45"/>
    <mergeCell ref="EN42:EN45"/>
    <mergeCell ref="EO42:EO45"/>
    <mergeCell ref="ED42:ED45"/>
    <mergeCell ref="EE42:EE45"/>
    <mergeCell ref="EF42:EF45"/>
    <mergeCell ref="EG42:EG45"/>
    <mergeCell ref="EH42:EH45"/>
    <mergeCell ref="EI42:EI45"/>
    <mergeCell ref="DX42:DX45"/>
    <mergeCell ref="DY42:DY45"/>
    <mergeCell ref="DZ42:DZ45"/>
    <mergeCell ref="EA42:EA45"/>
    <mergeCell ref="EB42:EB45"/>
    <mergeCell ref="EC42:EC45"/>
    <mergeCell ref="DR42:DR45"/>
    <mergeCell ref="DS42:DS45"/>
    <mergeCell ref="DT42:DT45"/>
    <mergeCell ref="DU42:DU45"/>
    <mergeCell ref="DV42:DV45"/>
    <mergeCell ref="DW42:DW45"/>
    <mergeCell ref="DL42:DL45"/>
    <mergeCell ref="DM42:DM45"/>
    <mergeCell ref="DN42:DN45"/>
    <mergeCell ref="DO42:DO45"/>
    <mergeCell ref="DP42:DP45"/>
    <mergeCell ref="DQ42:DQ45"/>
    <mergeCell ref="DF42:DF45"/>
    <mergeCell ref="DG42:DG45"/>
    <mergeCell ref="DH42:DH45"/>
    <mergeCell ref="DI42:DI45"/>
    <mergeCell ref="DJ42:DJ45"/>
    <mergeCell ref="DK42:DK45"/>
    <mergeCell ref="CZ42:CZ45"/>
    <mergeCell ref="DA42:DA45"/>
    <mergeCell ref="DB42:DB45"/>
    <mergeCell ref="DC42:DC45"/>
    <mergeCell ref="DD42:DD45"/>
    <mergeCell ref="DE42:DE45"/>
    <mergeCell ref="CT42:CT45"/>
    <mergeCell ref="CU42:CU45"/>
    <mergeCell ref="CV42:CV45"/>
    <mergeCell ref="CW42:CW45"/>
    <mergeCell ref="CX42:CX45"/>
    <mergeCell ref="CY42:CY45"/>
    <mergeCell ref="CN42:CN45"/>
    <mergeCell ref="CO42:CO45"/>
    <mergeCell ref="CP42:CP45"/>
    <mergeCell ref="CQ42:CQ45"/>
    <mergeCell ref="CR42:CR45"/>
    <mergeCell ref="CS42:CS45"/>
    <mergeCell ref="CH42:CH45"/>
    <mergeCell ref="CI42:CI45"/>
    <mergeCell ref="CJ42:CJ45"/>
    <mergeCell ref="CK42:CK45"/>
    <mergeCell ref="CL42:CL45"/>
    <mergeCell ref="CM42:CM45"/>
    <mergeCell ref="CB42:CB45"/>
    <mergeCell ref="CC42:CC45"/>
    <mergeCell ref="CD42:CD45"/>
    <mergeCell ref="CE42:CE45"/>
    <mergeCell ref="CF42:CF45"/>
    <mergeCell ref="CG42:CG45"/>
    <mergeCell ref="BV42:BV45"/>
    <mergeCell ref="BW42:BW45"/>
    <mergeCell ref="BX42:BX45"/>
    <mergeCell ref="BY42:BY45"/>
    <mergeCell ref="BZ42:BZ45"/>
    <mergeCell ref="CA42:CA45"/>
    <mergeCell ref="BP42:BP45"/>
    <mergeCell ref="BQ42:BQ45"/>
    <mergeCell ref="BR42:BR45"/>
    <mergeCell ref="BS42:BS45"/>
    <mergeCell ref="BT42:BT45"/>
    <mergeCell ref="BU42:BU45"/>
    <mergeCell ref="BJ42:BJ45"/>
    <mergeCell ref="BK42:BK45"/>
    <mergeCell ref="BL42:BL45"/>
    <mergeCell ref="BM42:BM45"/>
    <mergeCell ref="BN42:BN45"/>
    <mergeCell ref="BO42:BO45"/>
    <mergeCell ref="BD42:BD45"/>
    <mergeCell ref="BE42:BE45"/>
    <mergeCell ref="BF42:BF45"/>
    <mergeCell ref="BG42:BG45"/>
    <mergeCell ref="BH42:BH45"/>
    <mergeCell ref="BI42:BI45"/>
    <mergeCell ref="AX42:AX45"/>
    <mergeCell ref="AY42:AY45"/>
    <mergeCell ref="AZ42:AZ45"/>
    <mergeCell ref="BA42:BA45"/>
    <mergeCell ref="BB42:BB45"/>
    <mergeCell ref="BC42:BC45"/>
    <mergeCell ref="AR42:AR45"/>
    <mergeCell ref="AS42:AS45"/>
    <mergeCell ref="AT42:AT45"/>
    <mergeCell ref="AU42:AU45"/>
    <mergeCell ref="AV42:AV45"/>
    <mergeCell ref="AW42:AW45"/>
    <mergeCell ref="AL42:AL45"/>
    <mergeCell ref="AM42:AM45"/>
    <mergeCell ref="AN42:AN45"/>
    <mergeCell ref="AO42:AO45"/>
    <mergeCell ref="AP42:AP45"/>
    <mergeCell ref="AQ42:AQ45"/>
    <mergeCell ref="AF42:AF45"/>
    <mergeCell ref="AG42:AG45"/>
    <mergeCell ref="AH42:AH45"/>
    <mergeCell ref="AI42:AI45"/>
    <mergeCell ref="AJ42:AJ45"/>
    <mergeCell ref="AK42:AK45"/>
    <mergeCell ref="Z42:Z45"/>
    <mergeCell ref="AA42:AA45"/>
    <mergeCell ref="AB42:AB45"/>
    <mergeCell ref="AC42:AC45"/>
    <mergeCell ref="AD42:AD45"/>
    <mergeCell ref="AE42:AE45"/>
    <mergeCell ref="T42:T45"/>
    <mergeCell ref="U42:U45"/>
    <mergeCell ref="V42:V45"/>
    <mergeCell ref="W42:W45"/>
    <mergeCell ref="X42:X45"/>
    <mergeCell ref="Y42:Y45"/>
    <mergeCell ref="N42:N45"/>
    <mergeCell ref="O42:O45"/>
    <mergeCell ref="P42:P45"/>
    <mergeCell ref="Q42:Q45"/>
    <mergeCell ref="R42:R45"/>
    <mergeCell ref="S42:S45"/>
    <mergeCell ref="EJ39:EM41"/>
    <mergeCell ref="EN39:EN41"/>
    <mergeCell ref="EO39:EQ41"/>
    <mergeCell ref="ER39:ER41"/>
    <mergeCell ref="ES39:ES41"/>
    <mergeCell ref="I42:I45"/>
    <mergeCell ref="J42:J45"/>
    <mergeCell ref="K42:K45"/>
    <mergeCell ref="L42:L45"/>
    <mergeCell ref="M42:M45"/>
    <mergeCell ref="DX39:DZ41"/>
    <mergeCell ref="EA39:EA41"/>
    <mergeCell ref="EB39:EB41"/>
    <mergeCell ref="EC39:EE41"/>
    <mergeCell ref="EF39:EH41"/>
    <mergeCell ref="EI39:EI41"/>
    <mergeCell ref="DK39:DK41"/>
    <mergeCell ref="DL39:DN41"/>
    <mergeCell ref="DO39:DQ41"/>
    <mergeCell ref="DR39:DR41"/>
    <mergeCell ref="DS39:DV41"/>
    <mergeCell ref="DW39:DW41"/>
    <mergeCell ref="CX39:CZ41"/>
    <mergeCell ref="DA39:DA41"/>
    <mergeCell ref="DB39:DE41"/>
    <mergeCell ref="DF39:DF41"/>
    <mergeCell ref="DG39:DI41"/>
    <mergeCell ref="DJ39:DJ41"/>
    <mergeCell ref="CK39:CN41"/>
    <mergeCell ref="CO39:CO41"/>
    <mergeCell ref="CP39:CR41"/>
    <mergeCell ref="CS39:CS41"/>
    <mergeCell ref="CT39:CT41"/>
    <mergeCell ref="CU39:CW41"/>
    <mergeCell ref="BY39:CA41"/>
    <mergeCell ref="CB39:CB41"/>
    <mergeCell ref="CC39:CC41"/>
    <mergeCell ref="CD39:CF41"/>
    <mergeCell ref="CG39:CI41"/>
    <mergeCell ref="CJ39:CJ41"/>
    <mergeCell ref="BL39:BL41"/>
    <mergeCell ref="BM39:BO41"/>
    <mergeCell ref="BP39:BR41"/>
    <mergeCell ref="BS39:BS41"/>
    <mergeCell ref="BT39:BW41"/>
    <mergeCell ref="BX39:BX41"/>
    <mergeCell ref="AY39:BA41"/>
    <mergeCell ref="BB39:BB41"/>
    <mergeCell ref="BC39:BF41"/>
    <mergeCell ref="BG39:BG41"/>
    <mergeCell ref="BH39:BJ41"/>
    <mergeCell ref="BK39:BK41"/>
    <mergeCell ref="AL39:AO41"/>
    <mergeCell ref="AP39:AP41"/>
    <mergeCell ref="AQ39:AS41"/>
    <mergeCell ref="AT39:AT41"/>
    <mergeCell ref="AU39:AU41"/>
    <mergeCell ref="AV39:AX41"/>
    <mergeCell ref="X39:X41"/>
    <mergeCell ref="Y39:AA41"/>
    <mergeCell ref="AB39:AD41"/>
    <mergeCell ref="AE39:AG41"/>
    <mergeCell ref="AH39:AJ41"/>
    <mergeCell ref="AK39:AK41"/>
    <mergeCell ref="DL38:EB38"/>
    <mergeCell ref="EC38:ES38"/>
    <mergeCell ref="ET38:ET45"/>
    <mergeCell ref="EU38:EU45"/>
    <mergeCell ref="I39:K41"/>
    <mergeCell ref="L39:N41"/>
    <mergeCell ref="O39:O41"/>
    <mergeCell ref="P39:S41"/>
    <mergeCell ref="T39:T41"/>
    <mergeCell ref="U39:W41"/>
    <mergeCell ref="I38:AD38"/>
    <mergeCell ref="AE38:AU38"/>
    <mergeCell ref="AV38:BL38"/>
    <mergeCell ref="BM38:CC38"/>
    <mergeCell ref="CD38:CT38"/>
    <mergeCell ref="CU38:DK38"/>
    <mergeCell ref="C32:F32"/>
    <mergeCell ref="G32:H32"/>
    <mergeCell ref="C33:F33"/>
    <mergeCell ref="G33:H33"/>
    <mergeCell ref="B38:F45"/>
    <mergeCell ref="G38:H45"/>
    <mergeCell ref="C29:F29"/>
    <mergeCell ref="G29:H29"/>
    <mergeCell ref="C30:F30"/>
    <mergeCell ref="G30:H30"/>
    <mergeCell ref="C31:F31"/>
    <mergeCell ref="G31:H31"/>
    <mergeCell ref="C26:F26"/>
    <mergeCell ref="G26:H26"/>
    <mergeCell ref="C27:F27"/>
    <mergeCell ref="G27:H27"/>
    <mergeCell ref="C28:F28"/>
    <mergeCell ref="G28:H28"/>
    <mergeCell ref="C22:F22"/>
    <mergeCell ref="G22:H22"/>
    <mergeCell ref="C23:F23"/>
    <mergeCell ref="G23:H23"/>
    <mergeCell ref="G24:H24"/>
    <mergeCell ref="C25:F25"/>
    <mergeCell ref="G25:H25"/>
    <mergeCell ref="G18:H18"/>
    <mergeCell ref="C19:F19"/>
    <mergeCell ref="G19:H19"/>
    <mergeCell ref="C20:F20"/>
    <mergeCell ref="G20:H20"/>
    <mergeCell ref="C21:F21"/>
    <mergeCell ref="G21:H21"/>
    <mergeCell ref="EP13:EP16"/>
    <mergeCell ref="EQ13:EQ16"/>
    <mergeCell ref="ER13:ER16"/>
    <mergeCell ref="ES13:ES16"/>
    <mergeCell ref="C17:F17"/>
    <mergeCell ref="G17:H17"/>
    <mergeCell ref="EJ13:EJ16"/>
    <mergeCell ref="EK13:EK16"/>
    <mergeCell ref="EL13:EL16"/>
    <mergeCell ref="EM13:EM16"/>
    <mergeCell ref="EN13:EN16"/>
    <mergeCell ref="EO13:EO16"/>
    <mergeCell ref="ED13:ED16"/>
    <mergeCell ref="EE13:EE16"/>
    <mergeCell ref="EF13:EF16"/>
    <mergeCell ref="EG13:EG16"/>
    <mergeCell ref="EH13:EH16"/>
    <mergeCell ref="EI13:EI16"/>
    <mergeCell ref="DX13:DX16"/>
    <mergeCell ref="DY13:DY16"/>
    <mergeCell ref="DZ13:DZ16"/>
    <mergeCell ref="EA13:EA16"/>
    <mergeCell ref="EB13:EB16"/>
    <mergeCell ref="EC13:EC16"/>
    <mergeCell ref="DR13:DR16"/>
    <mergeCell ref="DS13:DS16"/>
    <mergeCell ref="DT13:DT16"/>
    <mergeCell ref="DU13:DU16"/>
    <mergeCell ref="DV13:DV16"/>
    <mergeCell ref="DW13:DW16"/>
    <mergeCell ref="DL13:DL16"/>
    <mergeCell ref="DM13:DM16"/>
    <mergeCell ref="DN13:DN16"/>
    <mergeCell ref="DO13:DO16"/>
    <mergeCell ref="DP13:DP16"/>
    <mergeCell ref="DQ13:DQ16"/>
    <mergeCell ref="DF13:DF16"/>
    <mergeCell ref="DG13:DG16"/>
    <mergeCell ref="DH13:DH16"/>
    <mergeCell ref="DI13:DI16"/>
    <mergeCell ref="DJ13:DJ16"/>
    <mergeCell ref="DK13:DK16"/>
    <mergeCell ref="CZ13:CZ16"/>
    <mergeCell ref="DA13:DA16"/>
    <mergeCell ref="DB13:DB16"/>
    <mergeCell ref="DC13:DC16"/>
    <mergeCell ref="DD13:DD16"/>
    <mergeCell ref="DE13:DE16"/>
    <mergeCell ref="CT13:CT16"/>
    <mergeCell ref="CU13:CU16"/>
    <mergeCell ref="CV13:CV16"/>
    <mergeCell ref="CW13:CW16"/>
    <mergeCell ref="CX13:CX16"/>
    <mergeCell ref="CY13:CY16"/>
    <mergeCell ref="CN13:CN16"/>
    <mergeCell ref="CO13:CO16"/>
    <mergeCell ref="CP13:CP16"/>
    <mergeCell ref="CQ13:CQ16"/>
    <mergeCell ref="CR13:CR16"/>
    <mergeCell ref="CS13:CS16"/>
    <mergeCell ref="CH13:CH16"/>
    <mergeCell ref="CI13:CI16"/>
    <mergeCell ref="CJ13:CJ16"/>
    <mergeCell ref="CK13:CK16"/>
    <mergeCell ref="CL13:CL16"/>
    <mergeCell ref="CM13:CM16"/>
    <mergeCell ref="CB13:CB16"/>
    <mergeCell ref="CC13:CC16"/>
    <mergeCell ref="CD13:CD16"/>
    <mergeCell ref="CE13:CE16"/>
    <mergeCell ref="CF13:CF16"/>
    <mergeCell ref="CG13:CG16"/>
    <mergeCell ref="BV13:BV16"/>
    <mergeCell ref="BW13:BW16"/>
    <mergeCell ref="BX13:BX16"/>
    <mergeCell ref="BY13:BY16"/>
    <mergeCell ref="BZ13:BZ16"/>
    <mergeCell ref="CA13:CA16"/>
    <mergeCell ref="BP13:BP16"/>
    <mergeCell ref="BQ13:BQ16"/>
    <mergeCell ref="BR13:BR16"/>
    <mergeCell ref="BS13:BS16"/>
    <mergeCell ref="BT13:BT16"/>
    <mergeCell ref="BU13:BU16"/>
    <mergeCell ref="BJ13:BJ16"/>
    <mergeCell ref="BK13:BK16"/>
    <mergeCell ref="BL13:BL16"/>
    <mergeCell ref="BM13:BM16"/>
    <mergeCell ref="BN13:BN16"/>
    <mergeCell ref="BO13:BO16"/>
    <mergeCell ref="BD13:BD16"/>
    <mergeCell ref="BE13:BE16"/>
    <mergeCell ref="BF13:BF16"/>
    <mergeCell ref="BG13:BG16"/>
    <mergeCell ref="BH13:BH16"/>
    <mergeCell ref="BI13:BI16"/>
    <mergeCell ref="AX13:AX16"/>
    <mergeCell ref="AY13:AY16"/>
    <mergeCell ref="AZ13:AZ16"/>
    <mergeCell ref="BA13:BA16"/>
    <mergeCell ref="BB13:BB16"/>
    <mergeCell ref="BC13:BC16"/>
    <mergeCell ref="AR13:AR16"/>
    <mergeCell ref="AS13:AS16"/>
    <mergeCell ref="AT13:AT16"/>
    <mergeCell ref="AU13:AU16"/>
    <mergeCell ref="AV13:AV16"/>
    <mergeCell ref="AW13:AW16"/>
    <mergeCell ref="AL13:AL16"/>
    <mergeCell ref="AM13:AM16"/>
    <mergeCell ref="AN13:AN16"/>
    <mergeCell ref="AO13:AO16"/>
    <mergeCell ref="AP13:AP16"/>
    <mergeCell ref="AQ13:AQ16"/>
    <mergeCell ref="AF13:AF16"/>
    <mergeCell ref="AG13:AG16"/>
    <mergeCell ref="AH13:AH16"/>
    <mergeCell ref="AI13:AI16"/>
    <mergeCell ref="AJ13:AJ16"/>
    <mergeCell ref="AK13:AK16"/>
    <mergeCell ref="Z13:Z16"/>
    <mergeCell ref="AA13:AA16"/>
    <mergeCell ref="AB13:AB16"/>
    <mergeCell ref="AC13:AC16"/>
    <mergeCell ref="AD13:AD16"/>
    <mergeCell ref="AE13:AE16"/>
    <mergeCell ref="T13:T16"/>
    <mergeCell ref="U13:U16"/>
    <mergeCell ref="V13:V16"/>
    <mergeCell ref="W13:W16"/>
    <mergeCell ref="X13:X16"/>
    <mergeCell ref="Y13:Y16"/>
    <mergeCell ref="N13:N16"/>
    <mergeCell ref="O13:O16"/>
    <mergeCell ref="P13:P16"/>
    <mergeCell ref="Q13:Q16"/>
    <mergeCell ref="R13:R16"/>
    <mergeCell ref="S13:S16"/>
    <mergeCell ref="EJ10:EM12"/>
    <mergeCell ref="EN10:EN12"/>
    <mergeCell ref="EO10:EQ12"/>
    <mergeCell ref="ER10:ER12"/>
    <mergeCell ref="ES10:ES12"/>
    <mergeCell ref="I13:I16"/>
    <mergeCell ref="J13:J16"/>
    <mergeCell ref="K13:K16"/>
    <mergeCell ref="L13:L16"/>
    <mergeCell ref="M13:M16"/>
    <mergeCell ref="DX10:DZ12"/>
    <mergeCell ref="EA10:EA12"/>
    <mergeCell ref="EB10:EB12"/>
    <mergeCell ref="EC10:EE12"/>
    <mergeCell ref="EF10:EH12"/>
    <mergeCell ref="EI10:EI12"/>
    <mergeCell ref="DK10:DK12"/>
    <mergeCell ref="DL10:DN12"/>
    <mergeCell ref="DO10:DQ12"/>
    <mergeCell ref="DR10:DR12"/>
    <mergeCell ref="DS10:DV12"/>
    <mergeCell ref="DW10:DW12"/>
    <mergeCell ref="CX10:CZ12"/>
    <mergeCell ref="DA10:DA12"/>
    <mergeCell ref="DB10:DE12"/>
    <mergeCell ref="DF10:DF12"/>
    <mergeCell ref="DG10:DI12"/>
    <mergeCell ref="DJ10:DJ12"/>
    <mergeCell ref="CK10:CN12"/>
    <mergeCell ref="CO10:CO12"/>
    <mergeCell ref="CP10:CR12"/>
    <mergeCell ref="CS10:CS12"/>
    <mergeCell ref="CT10:CT12"/>
    <mergeCell ref="CU10:CW12"/>
    <mergeCell ref="BY10:CA12"/>
    <mergeCell ref="CB10:CB12"/>
    <mergeCell ref="CC10:CC12"/>
    <mergeCell ref="CD10:CF12"/>
    <mergeCell ref="CG10:CI12"/>
    <mergeCell ref="CJ10:CJ12"/>
    <mergeCell ref="BL10:BL12"/>
    <mergeCell ref="BM10:BO12"/>
    <mergeCell ref="BP10:BR12"/>
    <mergeCell ref="BS10:BS12"/>
    <mergeCell ref="BT10:BW12"/>
    <mergeCell ref="BX10:BX12"/>
    <mergeCell ref="AY10:BA12"/>
    <mergeCell ref="BB10:BB12"/>
    <mergeCell ref="BC10:BF12"/>
    <mergeCell ref="BG10:BG12"/>
    <mergeCell ref="BH10:BJ12"/>
    <mergeCell ref="BK10:BK12"/>
    <mergeCell ref="AL10:AO12"/>
    <mergeCell ref="AP10:AP12"/>
    <mergeCell ref="AQ10:AS12"/>
    <mergeCell ref="AT10:AT12"/>
    <mergeCell ref="AU10:AU12"/>
    <mergeCell ref="AV10:AX12"/>
    <mergeCell ref="X10:X12"/>
    <mergeCell ref="Y10:AA12"/>
    <mergeCell ref="AB10:AD12"/>
    <mergeCell ref="AE10:AG12"/>
    <mergeCell ref="AH10:AJ12"/>
    <mergeCell ref="AK10:AK12"/>
    <mergeCell ref="DL9:EB9"/>
    <mergeCell ref="EC9:ES9"/>
    <mergeCell ref="ET9:ET16"/>
    <mergeCell ref="EU9:EU16"/>
    <mergeCell ref="I10:K12"/>
    <mergeCell ref="L10:N12"/>
    <mergeCell ref="O10:O12"/>
    <mergeCell ref="P10:S12"/>
    <mergeCell ref="T10:T12"/>
    <mergeCell ref="U10:W12"/>
    <mergeCell ref="B7:L7"/>
    <mergeCell ref="EQ8:EU8"/>
    <mergeCell ref="B9:F16"/>
    <mergeCell ref="G9:H16"/>
    <mergeCell ref="I9:AD9"/>
    <mergeCell ref="AE9:AU9"/>
    <mergeCell ref="AV9:BL9"/>
    <mergeCell ref="BM9:CC9"/>
    <mergeCell ref="CD9:CT9"/>
    <mergeCell ref="CU9:D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Šiupinienė | Komunalinių paslaugų centras UAB</dc:creator>
  <cp:lastModifiedBy>Renata Šiupinienė | Komunalinių paslaugų centras UAB</cp:lastModifiedBy>
  <dcterms:created xsi:type="dcterms:W3CDTF">2015-06-05T18:19:34Z</dcterms:created>
  <dcterms:modified xsi:type="dcterms:W3CDTF">2026-07-23T06:26:51Z</dcterms:modified>
</cp:coreProperties>
</file>